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d.docs.live.net/09832578b4f2ba0c/Desktop/"/>
    </mc:Choice>
  </mc:AlternateContent>
  <xr:revisionPtr revIDLastSave="292" documentId="11_EB86353D4116CB06FD2B06FA2D7ACECC973E8E53" xr6:coauthVersionLast="47" xr6:coauthVersionMax="47" xr10:uidLastSave="{591F29F5-CD25-4862-86D5-3FCA20EAD3B5}"/>
  <bookViews>
    <workbookView xWindow="-120" yWindow="-120" windowWidth="20730" windowHeight="11040" activeTab="1" xr2:uid="{00000000-000D-0000-FFFF-FFFF00000000}"/>
  </bookViews>
  <sheets>
    <sheet name="Skills" sheetId="1" r:id="rId1"/>
    <sheet name="FullTable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6" i="1" l="1"/>
  <c r="E115" i="1"/>
  <c r="E93" i="1"/>
  <c r="E92" i="1"/>
  <c r="G91" i="1"/>
  <c r="E91" i="1"/>
  <c r="E81" i="1"/>
  <c r="G79" i="1"/>
  <c r="E79" i="1"/>
  <c r="G77" i="1"/>
  <c r="E77" i="1"/>
  <c r="G75" i="1"/>
  <c r="E75" i="1"/>
  <c r="G74" i="1"/>
  <c r="E74" i="1"/>
  <c r="E67" i="1"/>
  <c r="G65" i="1"/>
  <c r="G61" i="1"/>
  <c r="E61" i="1"/>
  <c r="G59" i="1"/>
  <c r="E59" i="1"/>
  <c r="G55" i="1"/>
  <c r="E55" i="1"/>
  <c r="E54" i="1"/>
  <c r="G43" i="1"/>
  <c r="E43" i="1"/>
  <c r="G40" i="1"/>
  <c r="E40" i="1"/>
  <c r="G32" i="1"/>
  <c r="G30" i="1"/>
  <c r="E32" i="1"/>
  <c r="E30" i="1"/>
  <c r="E29" i="1"/>
  <c r="G21" i="1"/>
  <c r="F19" i="1"/>
  <c r="E18" i="1"/>
  <c r="G17" i="1"/>
  <c r="G11" i="1"/>
  <c r="E11" i="1"/>
  <c r="G7" i="1"/>
  <c r="F7" i="1"/>
  <c r="E7" i="1"/>
  <c r="G6" i="1"/>
  <c r="E6" i="1"/>
  <c r="E5" i="1"/>
  <c r="G4" i="1"/>
  <c r="E4" i="1"/>
  <c r="F116" i="1"/>
  <c r="E116" i="1"/>
  <c r="D116" i="1"/>
  <c r="C116" i="1"/>
  <c r="B116" i="1"/>
  <c r="A116" i="1"/>
  <c r="G115" i="1"/>
  <c r="F115" i="1"/>
  <c r="D115" i="1"/>
  <c r="C115" i="1"/>
  <c r="B115" i="1"/>
  <c r="A115" i="1"/>
  <c r="G114" i="1"/>
  <c r="F114" i="1"/>
  <c r="E114" i="1"/>
  <c r="D114" i="1"/>
  <c r="C114" i="1"/>
  <c r="B114" i="1"/>
  <c r="A114" i="1"/>
  <c r="G113" i="1"/>
  <c r="F113" i="1"/>
  <c r="E113" i="1"/>
  <c r="D113" i="1"/>
  <c r="C113" i="1"/>
  <c r="B113" i="1"/>
  <c r="A113" i="1"/>
  <c r="G109" i="1"/>
  <c r="F109" i="1"/>
  <c r="E109" i="1"/>
  <c r="D109" i="1"/>
  <c r="C109" i="1"/>
  <c r="B109" i="1"/>
  <c r="A109" i="1"/>
  <c r="G104" i="1"/>
  <c r="F104" i="1"/>
  <c r="E104" i="1"/>
  <c r="D104" i="1"/>
  <c r="C104" i="1"/>
  <c r="B104" i="1"/>
  <c r="A104" i="1"/>
  <c r="G99" i="1"/>
  <c r="F99" i="1"/>
  <c r="E99" i="1"/>
  <c r="D99" i="1"/>
  <c r="C99" i="1"/>
  <c r="B99" i="1"/>
  <c r="A99" i="1"/>
  <c r="G95" i="1"/>
  <c r="F95" i="1"/>
  <c r="E95" i="1"/>
  <c r="D95" i="1"/>
  <c r="C95" i="1"/>
  <c r="B95" i="1"/>
  <c r="A95" i="1"/>
  <c r="G94" i="1"/>
  <c r="F94" i="1"/>
  <c r="E94" i="1"/>
  <c r="D94" i="1"/>
  <c r="C94" i="1"/>
  <c r="B94" i="1"/>
  <c r="A94" i="1"/>
  <c r="G93" i="1"/>
  <c r="F93" i="1"/>
  <c r="D93" i="1"/>
  <c r="C93" i="1"/>
  <c r="B93" i="1"/>
  <c r="A93" i="1"/>
  <c r="G92" i="1"/>
  <c r="F92" i="1"/>
  <c r="D92" i="1"/>
  <c r="C92" i="1"/>
  <c r="B92" i="1"/>
  <c r="A92" i="1"/>
  <c r="F91" i="1"/>
  <c r="D91" i="1"/>
  <c r="C91" i="1"/>
  <c r="B91" i="1"/>
  <c r="A91" i="1"/>
  <c r="G90" i="1"/>
  <c r="F90" i="1"/>
  <c r="E90" i="1"/>
  <c r="D90" i="1"/>
  <c r="C90" i="1"/>
  <c r="B90" i="1"/>
  <c r="A90" i="1"/>
  <c r="G86" i="1"/>
  <c r="F86" i="1"/>
  <c r="E86" i="1"/>
  <c r="D86" i="1"/>
  <c r="C86" i="1"/>
  <c r="B86" i="1"/>
  <c r="A86" i="1"/>
  <c r="G82" i="1"/>
  <c r="F82" i="1"/>
  <c r="E82" i="1"/>
  <c r="D82" i="1"/>
  <c r="C82" i="1"/>
  <c r="B82" i="1"/>
  <c r="A82" i="1"/>
  <c r="G81" i="1"/>
  <c r="F81" i="1"/>
  <c r="D81" i="1"/>
  <c r="C81" i="1"/>
  <c r="B81" i="1"/>
  <c r="A81" i="1"/>
  <c r="G80" i="1"/>
  <c r="F80" i="1"/>
  <c r="E80" i="1"/>
  <c r="D80" i="1"/>
  <c r="C80" i="1"/>
  <c r="B80" i="1"/>
  <c r="A80" i="1"/>
  <c r="F79" i="1"/>
  <c r="D79" i="1"/>
  <c r="C79" i="1"/>
  <c r="B79" i="1"/>
  <c r="A79" i="1"/>
  <c r="F77" i="1"/>
  <c r="D77" i="1"/>
  <c r="C77" i="1"/>
  <c r="B77" i="1"/>
  <c r="A77" i="1"/>
  <c r="G76" i="1"/>
  <c r="F76" i="1"/>
  <c r="E76" i="1"/>
  <c r="D76" i="1"/>
  <c r="C76" i="1"/>
  <c r="B76" i="1"/>
  <c r="A76" i="1"/>
  <c r="F75" i="1"/>
  <c r="D75" i="1"/>
  <c r="C75" i="1"/>
  <c r="B75" i="1"/>
  <c r="A75" i="1"/>
  <c r="F74" i="1"/>
  <c r="D74" i="1"/>
  <c r="C74" i="1"/>
  <c r="B74" i="1"/>
  <c r="A74" i="1"/>
  <c r="G67" i="1"/>
  <c r="F67" i="1"/>
  <c r="D67" i="1"/>
  <c r="C67" i="1"/>
  <c r="B67" i="1"/>
  <c r="A67" i="1"/>
  <c r="F65" i="1"/>
  <c r="E65" i="1"/>
  <c r="D65" i="1"/>
  <c r="C65" i="1"/>
  <c r="B65" i="1"/>
  <c r="A65" i="1"/>
  <c r="G64" i="1"/>
  <c r="F64" i="1"/>
  <c r="E64" i="1"/>
  <c r="D64" i="1"/>
  <c r="C64" i="1"/>
  <c r="B64" i="1"/>
  <c r="A64" i="1"/>
  <c r="G63" i="1"/>
  <c r="F63" i="1"/>
  <c r="E63" i="1"/>
  <c r="D63" i="1"/>
  <c r="C63" i="1"/>
  <c r="B63" i="1"/>
  <c r="A63" i="1"/>
  <c r="G62" i="1"/>
  <c r="F62" i="1"/>
  <c r="E62" i="1"/>
  <c r="D62" i="1"/>
  <c r="C62" i="1"/>
  <c r="B62" i="1"/>
  <c r="A62" i="1"/>
  <c r="F61" i="1"/>
  <c r="D61" i="1"/>
  <c r="C61" i="1"/>
  <c r="B61" i="1"/>
  <c r="A61" i="1"/>
  <c r="G60" i="1"/>
  <c r="F60" i="1"/>
  <c r="E60" i="1"/>
  <c r="D60" i="1"/>
  <c r="C60" i="1"/>
  <c r="B60" i="1"/>
  <c r="A60" i="1"/>
  <c r="F59" i="1"/>
  <c r="D59" i="1"/>
  <c r="C59" i="1"/>
  <c r="B59" i="1"/>
  <c r="A59" i="1"/>
  <c r="G58" i="1"/>
  <c r="F58" i="1"/>
  <c r="E58" i="1"/>
  <c r="D58" i="1"/>
  <c r="C58" i="1"/>
  <c r="B58" i="1"/>
  <c r="A58" i="1"/>
  <c r="G56" i="1"/>
  <c r="F56" i="1"/>
  <c r="E56" i="1"/>
  <c r="D56" i="1"/>
  <c r="C56" i="1"/>
  <c r="B56" i="1"/>
  <c r="A56" i="1"/>
  <c r="F55" i="1"/>
  <c r="D55" i="1"/>
  <c r="C55" i="1"/>
  <c r="B55" i="1"/>
  <c r="A55" i="1"/>
  <c r="G54" i="1"/>
  <c r="F54" i="1"/>
  <c r="D54" i="1"/>
  <c r="C54" i="1"/>
  <c r="B54" i="1"/>
  <c r="A54" i="1"/>
  <c r="G53" i="1"/>
  <c r="F53" i="1"/>
  <c r="E53" i="1"/>
  <c r="D53" i="1"/>
  <c r="C53" i="1"/>
  <c r="B53" i="1"/>
  <c r="A53" i="1"/>
  <c r="G48" i="1"/>
  <c r="F48" i="1"/>
  <c r="E48" i="1"/>
  <c r="D48" i="1"/>
  <c r="C48" i="1"/>
  <c r="B48" i="1"/>
  <c r="A48" i="1"/>
  <c r="G47" i="1"/>
  <c r="F47" i="1"/>
  <c r="E47" i="1"/>
  <c r="D47" i="1"/>
  <c r="C47" i="1"/>
  <c r="B47" i="1"/>
  <c r="A47" i="1"/>
  <c r="G46" i="1"/>
  <c r="F46" i="1"/>
  <c r="E46" i="1"/>
  <c r="D46" i="1"/>
  <c r="C46" i="1"/>
  <c r="B46" i="1"/>
  <c r="A46" i="1"/>
  <c r="G45" i="1"/>
  <c r="F45" i="1"/>
  <c r="E45" i="1"/>
  <c r="D45" i="1"/>
  <c r="C45" i="1"/>
  <c r="B45" i="1"/>
  <c r="A45" i="1"/>
  <c r="G44" i="1"/>
  <c r="F44" i="1"/>
  <c r="E44" i="1"/>
  <c r="D44" i="1"/>
  <c r="C44" i="1"/>
  <c r="B44" i="1"/>
  <c r="A44" i="1"/>
  <c r="F43" i="1"/>
  <c r="D43" i="1"/>
  <c r="C43" i="1"/>
  <c r="B43" i="1"/>
  <c r="A43" i="1"/>
  <c r="G41" i="1"/>
  <c r="F41" i="1"/>
  <c r="E41" i="1"/>
  <c r="D41" i="1"/>
  <c r="C41" i="1"/>
  <c r="B41" i="1"/>
  <c r="A41" i="1"/>
  <c r="F40" i="1"/>
  <c r="D40" i="1"/>
  <c r="C40" i="1"/>
  <c r="B40" i="1"/>
  <c r="A40" i="1"/>
  <c r="G38" i="1"/>
  <c r="F38" i="1"/>
  <c r="E38" i="1"/>
  <c r="D38" i="1"/>
  <c r="C38" i="1"/>
  <c r="B38" i="1"/>
  <c r="A38" i="1"/>
  <c r="G37" i="1"/>
  <c r="F37" i="1"/>
  <c r="E37" i="1"/>
  <c r="D37" i="1"/>
  <c r="C37" i="1"/>
  <c r="B37" i="1"/>
  <c r="A37" i="1"/>
  <c r="F32" i="1"/>
  <c r="D32" i="1"/>
  <c r="C32" i="1"/>
  <c r="B32" i="1"/>
  <c r="A32" i="1"/>
  <c r="F30" i="1"/>
  <c r="D30" i="1"/>
  <c r="C30" i="1"/>
  <c r="B30" i="1"/>
  <c r="A30" i="1"/>
  <c r="G29" i="1"/>
  <c r="F29" i="1"/>
  <c r="D29" i="1"/>
  <c r="C29" i="1"/>
  <c r="B29" i="1"/>
  <c r="A29" i="1"/>
  <c r="G28" i="1"/>
  <c r="F28" i="1"/>
  <c r="E28" i="1"/>
  <c r="D28" i="1"/>
  <c r="C28" i="1"/>
  <c r="B28" i="1"/>
  <c r="A28" i="1"/>
  <c r="G27" i="1"/>
  <c r="F27" i="1"/>
  <c r="E27" i="1"/>
  <c r="D27" i="1"/>
  <c r="C27" i="1"/>
  <c r="B27" i="1"/>
  <c r="A27" i="1"/>
  <c r="G23" i="1"/>
  <c r="F23" i="1"/>
  <c r="E23" i="1"/>
  <c r="D23" i="1"/>
  <c r="C23" i="1"/>
  <c r="B23" i="1"/>
  <c r="A23" i="1"/>
  <c r="G22" i="1"/>
  <c r="F22" i="1"/>
  <c r="E22" i="1"/>
  <c r="D22" i="1"/>
  <c r="C22" i="1"/>
  <c r="B22" i="1"/>
  <c r="A22" i="1"/>
  <c r="F21" i="1"/>
  <c r="E21" i="1"/>
  <c r="D21" i="1"/>
  <c r="C21" i="1"/>
  <c r="B21" i="1"/>
  <c r="A21" i="1"/>
  <c r="G20" i="1"/>
  <c r="F20" i="1"/>
  <c r="E20" i="1"/>
  <c r="D20" i="1"/>
  <c r="C20" i="1"/>
  <c r="B20" i="1"/>
  <c r="A20" i="1"/>
  <c r="G19" i="1"/>
  <c r="E19" i="1"/>
  <c r="D19" i="1"/>
  <c r="C19" i="1"/>
  <c r="B19" i="1"/>
  <c r="A19" i="1"/>
  <c r="G18" i="1"/>
  <c r="F18" i="1"/>
  <c r="D18" i="1"/>
  <c r="C18" i="1"/>
  <c r="B18" i="1"/>
  <c r="A18" i="1"/>
  <c r="F17" i="1"/>
  <c r="E17" i="1"/>
  <c r="D17" i="1"/>
  <c r="C17" i="1"/>
  <c r="B17" i="1"/>
  <c r="A17" i="1"/>
  <c r="F16" i="1"/>
  <c r="E16" i="1"/>
  <c r="D16" i="1"/>
  <c r="C16" i="1"/>
  <c r="B16" i="1"/>
  <c r="A16" i="1"/>
  <c r="G15" i="1"/>
  <c r="F15" i="1"/>
  <c r="E15" i="1"/>
  <c r="D15" i="1"/>
  <c r="C15" i="1"/>
  <c r="B15" i="1"/>
  <c r="A15" i="1"/>
  <c r="G14" i="1"/>
  <c r="F14" i="1"/>
  <c r="E14" i="1"/>
  <c r="D14" i="1"/>
  <c r="C14" i="1"/>
  <c r="B14" i="1"/>
  <c r="A14" i="1"/>
  <c r="G13" i="1"/>
  <c r="F13" i="1"/>
  <c r="E13" i="1"/>
  <c r="D13" i="1"/>
  <c r="C13" i="1"/>
  <c r="B13" i="1"/>
  <c r="A13" i="1"/>
  <c r="G12" i="1"/>
  <c r="F12" i="1"/>
  <c r="E12" i="1"/>
  <c r="D12" i="1"/>
  <c r="C12" i="1"/>
  <c r="B12" i="1"/>
  <c r="A12" i="1"/>
  <c r="F11" i="1"/>
  <c r="D11" i="1"/>
  <c r="C11" i="1"/>
  <c r="B11" i="1"/>
  <c r="A11" i="1"/>
  <c r="G10" i="1"/>
  <c r="F10" i="1"/>
  <c r="E10" i="1"/>
  <c r="D10" i="1"/>
  <c r="C10" i="1"/>
  <c r="B10" i="1"/>
  <c r="A10" i="1"/>
  <c r="G9" i="1"/>
  <c r="F9" i="1"/>
  <c r="E9" i="1"/>
  <c r="D9" i="1"/>
  <c r="C9" i="1"/>
  <c r="B9" i="1"/>
  <c r="A9" i="1"/>
  <c r="G8" i="1"/>
  <c r="F8" i="1"/>
  <c r="E8" i="1"/>
  <c r="D8" i="1"/>
  <c r="C8" i="1"/>
  <c r="B8" i="1"/>
  <c r="A8" i="1"/>
  <c r="D7" i="1"/>
  <c r="C7" i="1"/>
  <c r="B7" i="1"/>
  <c r="A7" i="1"/>
  <c r="F6" i="1"/>
  <c r="D6" i="1"/>
  <c r="C6" i="1"/>
  <c r="B6" i="1"/>
  <c r="A6" i="1"/>
  <c r="G5" i="1"/>
  <c r="F5" i="1"/>
  <c r="D5" i="1"/>
  <c r="C5" i="1"/>
  <c r="B5" i="1"/>
  <c r="A5" i="1"/>
  <c r="F4" i="1"/>
  <c r="D4" i="1"/>
  <c r="C4" i="1"/>
  <c r="B4" i="1"/>
  <c r="A4" i="1"/>
  <c r="G3" i="1"/>
  <c r="F3" i="1"/>
  <c r="E3" i="1"/>
  <c r="D3" i="1"/>
  <c r="C3" i="1"/>
  <c r="B3" i="1"/>
  <c r="A3" i="1"/>
</calcChain>
</file>

<file path=xl/sharedStrings.xml><?xml version="1.0" encoding="utf-8"?>
<sst xmlns="http://schemas.openxmlformats.org/spreadsheetml/2006/main" count="582" uniqueCount="282">
  <si>
    <t>Painting</t>
  </si>
  <si>
    <t>Name</t>
  </si>
  <si>
    <t>Age</t>
  </si>
  <si>
    <t>Gender</t>
  </si>
  <si>
    <t>Number</t>
  </si>
  <si>
    <t>Language</t>
  </si>
  <si>
    <t>Skills</t>
  </si>
  <si>
    <t>Additional Information</t>
  </si>
  <si>
    <t>Electrical</t>
  </si>
  <si>
    <t>Security</t>
  </si>
  <si>
    <t>General</t>
  </si>
  <si>
    <t>Garden</t>
  </si>
  <si>
    <t>Admin</t>
  </si>
  <si>
    <t>Drives</t>
  </si>
  <si>
    <t>Domestic</t>
  </si>
  <si>
    <t>Rigger</t>
  </si>
  <si>
    <t>Merchandise</t>
  </si>
  <si>
    <t>Assist</t>
  </si>
  <si>
    <t>Fullname</t>
  </si>
  <si>
    <t>Phone Number</t>
  </si>
  <si>
    <t>Albert Tsima</t>
  </si>
  <si>
    <t>Male</t>
  </si>
  <si>
    <t xml:space="preserve"> +27 0661300152</t>
  </si>
  <si>
    <t>English</t>
  </si>
  <si>
    <t>Electrician</t>
  </si>
  <si>
    <t>Painting, 14 years</t>
  </si>
  <si>
    <t>Andre Thuynsma</t>
  </si>
  <si>
    <t xml:space="preserve"> +27 0725252760/0792113490</t>
  </si>
  <si>
    <t>English, Afrikaans</t>
  </si>
  <si>
    <t>Welder</t>
  </si>
  <si>
    <t>Double coded</t>
  </si>
  <si>
    <t>Aubmery Mnuisi</t>
  </si>
  <si>
    <t xml:space="preserve"> +27 0720439678/0822007864</t>
  </si>
  <si>
    <t>Zulu, English</t>
  </si>
  <si>
    <t>Security Officer</t>
  </si>
  <si>
    <t>Driver License, GB, C1 ed PD</t>
  </si>
  <si>
    <t>Bheki Benedict Ndimanda</t>
  </si>
  <si>
    <t xml:space="preserve"> +27 0799982855</t>
  </si>
  <si>
    <t>Zulu</t>
  </si>
  <si>
    <t>Grade A CIT handgun competence, Assistant Mechanic for more than 8 years</t>
  </si>
  <si>
    <t>Bulelani Mnguni</t>
  </si>
  <si>
    <t xml:space="preserve"> +27 0792671473</t>
  </si>
  <si>
    <t xml:space="preserve">General Work </t>
  </si>
  <si>
    <t>Plumbing</t>
  </si>
  <si>
    <t>Cesious Selala</t>
  </si>
  <si>
    <t xml:space="preserve"> +27 0609478289</t>
  </si>
  <si>
    <t>Sepedi</t>
  </si>
  <si>
    <t>Mechanical Assistant</t>
  </si>
  <si>
    <t>Hard worker, Working under pressure, Working overtime, Well communication</t>
  </si>
  <si>
    <t>Daniel Mapoepoe Komane</t>
  </si>
  <si>
    <t xml:space="preserve"> +27 0725793864</t>
  </si>
  <si>
    <t>Painter</t>
  </si>
  <si>
    <t>Dennies Phahlana</t>
  </si>
  <si>
    <t xml:space="preserve"> +27 0763885014/0661056256</t>
  </si>
  <si>
    <t>North Sephedi</t>
  </si>
  <si>
    <t>General Worker</t>
  </si>
  <si>
    <t>Desmond Zamani Zulu</t>
  </si>
  <si>
    <t xml:space="preserve"> +27 0836637663</t>
  </si>
  <si>
    <t>English, iSizulu</t>
  </si>
  <si>
    <t>Devilliers Phaswane</t>
  </si>
  <si>
    <t xml:space="preserve"> +27 0724302234</t>
  </si>
  <si>
    <t>Gardener</t>
  </si>
  <si>
    <t>13 years</t>
  </si>
  <si>
    <t>Dionne van de Merwe</t>
  </si>
  <si>
    <t>Female</t>
  </si>
  <si>
    <t xml:space="preserve"> +27 0781096178</t>
  </si>
  <si>
    <t>Office, Qualified Nail Tech, International Dip, Enjoy Cooking, Catering had own meals on Wheels Camp</t>
  </si>
  <si>
    <t>Doleox Emmnnuel Mhlongo</t>
  </si>
  <si>
    <t xml:space="preserve"> +27 0769005437</t>
  </si>
  <si>
    <t>Duwisami Jeffrey Nkosi</t>
  </si>
  <si>
    <t xml:space="preserve"> +27 0767432753</t>
  </si>
  <si>
    <t>Underground Worker</t>
  </si>
  <si>
    <t>Eliah Kodi</t>
  </si>
  <si>
    <t xml:space="preserve"> +27 0791140622</t>
  </si>
  <si>
    <t>North Sotho</t>
  </si>
  <si>
    <t>Painting. I am Critical thinking and problem solver</t>
  </si>
  <si>
    <t>Ephraim Nkosi</t>
  </si>
  <si>
    <t xml:space="preserve"> +27 0792413269</t>
  </si>
  <si>
    <t>Garden Work</t>
  </si>
  <si>
    <t>Ernest Matgibe</t>
  </si>
  <si>
    <t xml:space="preserve"> +27 0793638493</t>
  </si>
  <si>
    <t>Electric fence</t>
  </si>
  <si>
    <t>Game gauging, Game fencing, Install, Installation, Maintenance, Drivers Licence Code 10 , L1</t>
  </si>
  <si>
    <t>Fanny</t>
  </si>
  <si>
    <t xml:space="preserve"> +27 0763885014</t>
  </si>
  <si>
    <t>Ndebele, Afrikaans, English</t>
  </si>
  <si>
    <t>General Worker, Plaster</t>
  </si>
  <si>
    <t>France Mamogobo</t>
  </si>
  <si>
    <t xml:space="preserve"> +27 0728112044</t>
  </si>
  <si>
    <t>Paving</t>
  </si>
  <si>
    <t>Working hard, Working under pressure</t>
  </si>
  <si>
    <t>Hamlet Thobela</t>
  </si>
  <si>
    <t xml:space="preserve"> +27 0648811490</t>
  </si>
  <si>
    <t>General work</t>
  </si>
  <si>
    <t>Hridile Sigodi</t>
  </si>
  <si>
    <t xml:space="preserve"> +27 0661056256</t>
  </si>
  <si>
    <t>Xhosa</t>
  </si>
  <si>
    <t>Ishmael Mlima</t>
  </si>
  <si>
    <t>Ismary Molema</t>
  </si>
  <si>
    <t xml:space="preserve"> +27 0729267885</t>
  </si>
  <si>
    <t>Portuguese</t>
  </si>
  <si>
    <t>Construction, Gardening/Operating lawn mowing machine</t>
  </si>
  <si>
    <t>Jeffrey Maroga</t>
  </si>
  <si>
    <t xml:space="preserve"> +27 0765705904/0737096723</t>
  </si>
  <si>
    <t>Driver</t>
  </si>
  <si>
    <t>10 ton PDP, 8 years experience driving, Assist Machine, Forklift Driver, Excavator Operator</t>
  </si>
  <si>
    <t>Jeremiah Mamaile</t>
  </si>
  <si>
    <t xml:space="preserve"> +27 0799242400</t>
  </si>
  <si>
    <t>English, Afrikaans, North Sotho</t>
  </si>
  <si>
    <t>None</t>
  </si>
  <si>
    <t>Jim Thobejane</t>
  </si>
  <si>
    <t xml:space="preserve"> +27 0647253712</t>
  </si>
  <si>
    <t>Pedi</t>
  </si>
  <si>
    <t>Gardener, 5 years</t>
  </si>
  <si>
    <t>Johnny Mamagobo</t>
  </si>
  <si>
    <t xml:space="preserve"> +27 0822690481</t>
  </si>
  <si>
    <t>Johonnes Sukaz</t>
  </si>
  <si>
    <t xml:space="preserve"> +27 0798203567</t>
  </si>
  <si>
    <t>Gardening</t>
  </si>
  <si>
    <t xml:space="preserve">Painter </t>
  </si>
  <si>
    <t>Joseph Given Mashele</t>
  </si>
  <si>
    <t xml:space="preserve"> +27 0768443279</t>
  </si>
  <si>
    <t>Joseph Mahomane</t>
  </si>
  <si>
    <t xml:space="preserve"> +27 0783857516</t>
  </si>
  <si>
    <t>Joseph Mupoga</t>
  </si>
  <si>
    <t xml:space="preserve"> +27 0836560336</t>
  </si>
  <si>
    <t>Joseph Ngwenya</t>
  </si>
  <si>
    <t xml:space="preserve"> +27 0660137833/0840510638</t>
  </si>
  <si>
    <t>English, Zulu</t>
  </si>
  <si>
    <t>Painter, Paving, 2006-2021 as a rigger Edwardo construction, Midco labour Hire</t>
  </si>
  <si>
    <t>Joseph Vusi Mokoena</t>
  </si>
  <si>
    <t xml:space="preserve"> +27 0606788931</t>
  </si>
  <si>
    <t>English, Zulu, Ndebele</t>
  </si>
  <si>
    <t>Any Merchandiser</t>
  </si>
  <si>
    <t>Has a mother, 2 sisters and 4 kids</t>
  </si>
  <si>
    <t>Jostice Muzi Hcatshwalo</t>
  </si>
  <si>
    <t xml:space="preserve"> +27 0726125565</t>
  </si>
  <si>
    <t>Assistant</t>
  </si>
  <si>
    <t>Joyce Stole</t>
  </si>
  <si>
    <t xml:space="preserve"> +27 0666892965</t>
  </si>
  <si>
    <t>Kenneth Zulu</t>
  </si>
  <si>
    <t xml:space="preserve"> +27 0763544014</t>
  </si>
  <si>
    <t>1 year</t>
  </si>
  <si>
    <t>Knowledge Mbuiza</t>
  </si>
  <si>
    <t xml:space="preserve"> +27 0825078010</t>
  </si>
  <si>
    <t>Forklift, Driver licence, Wood cutting</t>
  </si>
  <si>
    <t>Louwrens</t>
  </si>
  <si>
    <t>Afrikaans</t>
  </si>
  <si>
    <t>EL, PDP, E and P, 30 year experience</t>
  </si>
  <si>
    <t>Lucky Tiou</t>
  </si>
  <si>
    <t xml:space="preserve"> +27 0762343454</t>
  </si>
  <si>
    <t>Carpentry. I am working hard for 13 years a benches</t>
  </si>
  <si>
    <t>Madike Mieieel</t>
  </si>
  <si>
    <t xml:space="preserve"> +27 0668218395</t>
  </si>
  <si>
    <t>Magolego Bethuel Maputuku</t>
  </si>
  <si>
    <t xml:space="preserve"> +27 0664108712</t>
  </si>
  <si>
    <t>Five years in Painting</t>
  </si>
  <si>
    <t>Mehsemela Godfrey</t>
  </si>
  <si>
    <t>Moses Mashele</t>
  </si>
  <si>
    <t xml:space="preserve"> +27 0818426596</t>
  </si>
  <si>
    <t>Siswati</t>
  </si>
  <si>
    <t>Sencer Erector</t>
  </si>
  <si>
    <t>My wife cell: 0783697229</t>
  </si>
  <si>
    <t>Mtha Jamela</t>
  </si>
  <si>
    <t xml:space="preserve"> +27 0684205293</t>
  </si>
  <si>
    <t xml:space="preserve">Chef </t>
  </si>
  <si>
    <t>Nyiko Hiatshwayo</t>
  </si>
  <si>
    <t xml:space="preserve"> +27 0722201600</t>
  </si>
  <si>
    <t>Xitsonga</t>
  </si>
  <si>
    <t>Driving</t>
  </si>
  <si>
    <t>9 years experience</t>
  </si>
  <si>
    <t>Pim Makaba</t>
  </si>
  <si>
    <t xml:space="preserve"> +27 0630254414</t>
  </si>
  <si>
    <t>Plantatlerder</t>
  </si>
  <si>
    <t>Mobile SGean, Grade 12, Business Management N4-N5</t>
  </si>
  <si>
    <t>Samson</t>
  </si>
  <si>
    <t xml:space="preserve"> +27 0601963037</t>
  </si>
  <si>
    <t>Building</t>
  </si>
  <si>
    <t xml:space="preserve"> +27 0761431751</t>
  </si>
  <si>
    <t>Samuel Shale</t>
  </si>
  <si>
    <t xml:space="preserve"> +27 0728798236</t>
  </si>
  <si>
    <t>English, Sesotho</t>
  </si>
  <si>
    <t>Office job</t>
  </si>
  <si>
    <t>Samy Malaka</t>
  </si>
  <si>
    <t xml:space="preserve"> +27 0713684972</t>
  </si>
  <si>
    <t xml:space="preserve">Auto-Electrical </t>
  </si>
  <si>
    <t>Semi-Skill, Volunteering, Candidate in Auto-Electrical Field. I work for auto-electrical skill, I don't need to be paid i'm looking for a skill.</t>
  </si>
  <si>
    <t>Senzo Sibiya</t>
  </si>
  <si>
    <t xml:space="preserve"> +27 0766387130</t>
  </si>
  <si>
    <t>Swazi</t>
  </si>
  <si>
    <t>Coal lab, Semplewa coal, Preparing coal, Waterproofing</t>
  </si>
  <si>
    <t>Sidney Dhumisrani</t>
  </si>
  <si>
    <t xml:space="preserve"> +27 0712458659</t>
  </si>
  <si>
    <t>Break layer</t>
  </si>
  <si>
    <t>Any job</t>
  </si>
  <si>
    <t>Simon Mogano</t>
  </si>
  <si>
    <t>Not mentioned</t>
  </si>
  <si>
    <t xml:space="preserve"> +27 0712694382</t>
  </si>
  <si>
    <t>Job Gras Daka, Lapa, Pentn</t>
  </si>
  <si>
    <t>Simon Mohlala</t>
  </si>
  <si>
    <t>Ride a horse. I worked 9 years on the farm and can do Ant Farm Work.</t>
  </si>
  <si>
    <t>Simphiwie</t>
  </si>
  <si>
    <t xml:space="preserve"> +27 0792442973</t>
  </si>
  <si>
    <t>Thabile Annah Nconquinne</t>
  </si>
  <si>
    <t xml:space="preserve"> +27 0608911608</t>
  </si>
  <si>
    <t>Thabo Momabo</t>
  </si>
  <si>
    <t xml:space="preserve"> +27 0769109239/0799438230</t>
  </si>
  <si>
    <t>Fence</t>
  </si>
  <si>
    <t>Thomas</t>
  </si>
  <si>
    <t xml:space="preserve"> +27 0649964270</t>
  </si>
  <si>
    <t>Mine safety, Officer</t>
  </si>
  <si>
    <t>Vusi Mtsweni</t>
  </si>
  <si>
    <t xml:space="preserve"> +27 0609525644</t>
  </si>
  <si>
    <t>Plastal Brick Electrical, All jobs that need hand I can do, Very neat and presentable with a respectful attitude</t>
  </si>
  <si>
    <t>Xolani Magagula</t>
  </si>
  <si>
    <t xml:space="preserve"> +27 0647771352</t>
  </si>
  <si>
    <t>Siswati, English</t>
  </si>
  <si>
    <t>Sipho Khoza</t>
  </si>
  <si>
    <t>ADT Operator</t>
  </si>
  <si>
    <t>Earth moving machinery</t>
  </si>
  <si>
    <t>Rigger/Operator</t>
  </si>
  <si>
    <t>+27 076 157 8055</t>
  </si>
  <si>
    <t>XiTsonga</t>
  </si>
  <si>
    <t>Earthmoving Machinery</t>
  </si>
  <si>
    <t>Lindiwe</t>
  </si>
  <si>
    <t>Domestic worker</t>
  </si>
  <si>
    <t>Cleaning/child care</t>
  </si>
  <si>
    <t>+27 0649904666</t>
  </si>
  <si>
    <t>Cleaning/Child care</t>
  </si>
  <si>
    <t>Godfrey Mashele</t>
  </si>
  <si>
    <t>Gardener/Assistant</t>
  </si>
  <si>
    <t>Boilermaker qualification, wiling to live in</t>
  </si>
  <si>
    <t>+27 072 782 3614</t>
  </si>
  <si>
    <t xml:space="preserve">English, Afrikaans </t>
  </si>
  <si>
    <t>Garden/Assist</t>
  </si>
  <si>
    <t>Has Matric, &amp; boilermaker qualifications with experience, willing to live in</t>
  </si>
  <si>
    <t>Alfred Maziya</t>
  </si>
  <si>
    <t>+27 0799414280</t>
  </si>
  <si>
    <t>Bongani Mahlangu</t>
  </si>
  <si>
    <t>+27 0828179386</t>
  </si>
  <si>
    <t>Solly Mahlangu</t>
  </si>
  <si>
    <t>General worker</t>
  </si>
  <si>
    <t>+27 072 860 8558</t>
  </si>
  <si>
    <t xml:space="preserve">Zulu </t>
  </si>
  <si>
    <t>Dumiso Mosoe Mosome</t>
  </si>
  <si>
    <t>+27 0637402137</t>
  </si>
  <si>
    <t>Thandiwe Mahamba</t>
  </si>
  <si>
    <t>+27 0760601055</t>
  </si>
  <si>
    <t>Ndebele, English</t>
  </si>
  <si>
    <t xml:space="preserve">Female </t>
  </si>
  <si>
    <t>Nomcebo Shabangu</t>
  </si>
  <si>
    <t>+27 0711539651</t>
  </si>
  <si>
    <t>Elvis Tshepiso Mahill</t>
  </si>
  <si>
    <t>+27 0794157837</t>
  </si>
  <si>
    <t>Sepedi, English, Zulu</t>
  </si>
  <si>
    <t>Had full firearm training at King of Arms</t>
  </si>
  <si>
    <t>Elvis Tshepio Mashill</t>
  </si>
  <si>
    <t>Full firearm training at King of Arms</t>
  </si>
  <si>
    <t>Lassie Sipho Mokoena</t>
  </si>
  <si>
    <t>+27 0763611022/0661218160</t>
  </si>
  <si>
    <t>Thabo T Mobeng</t>
  </si>
  <si>
    <t>+27 0635419477</t>
  </si>
  <si>
    <t>N Sotho, English</t>
  </si>
  <si>
    <t>Semi-skilled electrician</t>
  </si>
  <si>
    <t>Security &amp; Driving</t>
  </si>
  <si>
    <t>North Sotho, English</t>
  </si>
  <si>
    <t>Semi-skilled, Security &amp; Driving</t>
  </si>
  <si>
    <t>Abraham Mnisi</t>
  </si>
  <si>
    <t>+27 0725076632</t>
  </si>
  <si>
    <t>Refrigeration, Plumber, Gardener, Maintenance</t>
  </si>
  <si>
    <t>North Sepedi</t>
  </si>
  <si>
    <t>General work, Painting, Gardening , Ceiling , Reaction, Grade B, Driver licence, Competency for firearms</t>
  </si>
  <si>
    <t>For Laboratory, Departure for washibility floor, Sink coal, Painting</t>
  </si>
  <si>
    <t>English, Afrikaans, Zulu, North Sepedi</t>
  </si>
  <si>
    <t>Work as instructed. Polite, respectful.</t>
  </si>
  <si>
    <t>Afrikaans, North Sotho, North Sepedi</t>
  </si>
  <si>
    <t>Security, General work, Have Security Certificate and Matric</t>
  </si>
  <si>
    <t>Painting, Plastering, General work &amp; Gardening</t>
  </si>
  <si>
    <t>North Sepedi, English</t>
  </si>
  <si>
    <t>Scaffold charge hand. Worked as a boilermaker semi-skilled for almost 5 months at Stainmdlev. General worker</t>
  </si>
  <si>
    <t>English, Sepedi</t>
  </si>
  <si>
    <t>Maintenance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</si>
</sst>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3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20"/>
      <color rgb="FF274E13"/>
      <name val="Arial"/>
      <scheme val="minor"/>
    </font>
    <font>
      <sz val="20"/>
      <color rgb="FF20124D"/>
      <name val="Arial"/>
      <scheme val="minor"/>
    </font>
    <font>
      <sz val="20"/>
      <color rgb="FF660000"/>
      <name val="Arial"/>
      <scheme val="minor"/>
    </font>
    <font>
      <sz val="20"/>
      <color rgb="FF4C1130"/>
      <name val="Arial"/>
      <scheme val="minor"/>
    </font>
    <font>
      <sz val="20"/>
      <color rgb="FF741B47"/>
      <name val="Arial"/>
      <scheme val="minor"/>
    </font>
    <font>
      <sz val="20"/>
      <color rgb="FF351C75"/>
      <name val="Arial"/>
      <scheme val="minor"/>
    </font>
    <font>
      <sz val="20"/>
      <color rgb="FF999999"/>
      <name val="Arial"/>
      <scheme val="minor"/>
    </font>
    <font>
      <sz val="20"/>
      <color rgb="FF434343"/>
      <name val="Arial"/>
      <scheme val="minor"/>
    </font>
    <font>
      <sz val="20"/>
      <color rgb="FF38761D"/>
      <name val="Arial"/>
      <scheme val="minor"/>
    </font>
    <font>
      <sz val="20"/>
      <color theme="1"/>
      <name val="Arial"/>
      <scheme val="minor"/>
    </font>
    <font>
      <sz val="20"/>
      <color rgb="FF0B5394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11" fillId="0" borderId="0" xfId="0" applyFont="1"/>
    <xf numFmtId="0" fontId="12" fillId="2" borderId="0" xfId="0" applyFont="1" applyFill="1" applyAlignment="1">
      <alignment horizontal="center"/>
    </xf>
    <xf numFmtId="0" fontId="1" fillId="0" borderId="0" xfId="0" applyFont="1" applyAlignment="1">
      <alignment horizontal="left" vertical="center" wrapText="1"/>
    </xf>
    <xf numFmtId="49" fontId="1" fillId="0" borderId="0" xfId="0" applyNumberFormat="1" applyFont="1" applyAlignment="1">
      <alignment vertical="center"/>
    </xf>
    <xf numFmtId="1" fontId="1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vertical="center" wrapText="1"/>
    </xf>
    <xf numFmtId="0" fontId="1" fillId="0" borderId="0" xfId="0" applyFont="1" applyBorder="1" applyAlignment="1">
      <alignment vertical="center"/>
    </xf>
    <xf numFmtId="3" fontId="1" fillId="0" borderId="0" xfId="0" quotePrefix="1" applyNumberFormat="1" applyFont="1" applyAlignment="1">
      <alignment vertical="center"/>
    </xf>
    <xf numFmtId="0" fontId="1" fillId="0" borderId="0" xfId="0" quotePrefix="1" applyFont="1" applyAlignment="1">
      <alignment vertical="center"/>
    </xf>
    <xf numFmtId="0" fontId="1" fillId="0" borderId="0" xfId="0" quotePrefix="1" applyFont="1" applyAlignment="1">
      <alignment horizontal="left" vertical="center"/>
    </xf>
    <xf numFmtId="3" fontId="1" fillId="0" borderId="0" xfId="0" quotePrefix="1" applyNumberFormat="1" applyFont="1" applyAlignment="1">
      <alignment horizontal="left" vertical="center"/>
    </xf>
    <xf numFmtId="1" fontId="1" fillId="0" borderId="0" xfId="0" quotePrefix="1" applyNumberFormat="1" applyFont="1" applyAlignment="1">
      <alignment vertical="center" wrapText="1"/>
    </xf>
    <xf numFmtId="0" fontId="1" fillId="0" borderId="0" xfId="0" quotePrefix="1" applyFont="1" applyAlignment="1">
      <alignment horizontal="left" vertical="center" wrapText="1"/>
    </xf>
  </cellXfs>
  <cellStyles count="1">
    <cellStyle name="Normal" xfId="0" builtinId="0"/>
  </cellStyles>
  <dxfs count="51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35FC1"/>
          <bgColor rgb="FF535FC1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626E7A"/>
          <bgColor rgb="FF626E7A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49564C"/>
          <bgColor rgb="FF49564C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73F6B"/>
          <bgColor rgb="FF373F6B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4A568D"/>
          <bgColor rgb="FF4A568D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9B3642"/>
          <bgColor rgb="FF9B3642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B463C"/>
          <bgColor rgb="FFBB463C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35FC1"/>
          <bgColor rgb="FF535FC1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</dxfs>
  <tableStyles count="13">
    <tableStyle name="Skills-style" pivot="0" count="3" xr9:uid="{00000000-0011-0000-FFFF-FFFF00000000}">
      <tableStyleElement type="headerRow" dxfId="50"/>
      <tableStyleElement type="firstRowStripe" dxfId="49"/>
      <tableStyleElement type="secondRowStripe" dxfId="48"/>
    </tableStyle>
    <tableStyle name="Skills-style 2" pivot="0" count="4" xr9:uid="{00000000-0011-0000-FFFF-FFFF01000000}">
      <tableStyleElement type="wholeTable" size="0" dxfId="47"/>
      <tableStyleElement type="headerRow" dxfId="46"/>
      <tableStyleElement type="firstRowStripe" dxfId="45"/>
      <tableStyleElement type="secondRowStripe" dxfId="44"/>
    </tableStyle>
    <tableStyle name="Skills-style 3" pivot="0" count="4" xr9:uid="{00000000-0011-0000-FFFF-FFFF02000000}">
      <tableStyleElement type="wholeTable" size="0" dxfId="43"/>
      <tableStyleElement type="headerRow" dxfId="42"/>
      <tableStyleElement type="firstRowStripe" dxfId="41"/>
      <tableStyleElement type="secondRowStripe" dxfId="40"/>
    </tableStyle>
    <tableStyle name="Skills-style 4" pivot="0" count="4" xr9:uid="{00000000-0011-0000-FFFF-FFFF03000000}">
      <tableStyleElement type="wholeTable" size="0" dxfId="39"/>
      <tableStyleElement type="headerRow" dxfId="38"/>
      <tableStyleElement type="firstRowStripe" dxfId="37"/>
      <tableStyleElement type="secondRowStripe" dxfId="36"/>
    </tableStyle>
    <tableStyle name="Skills-style 5" pivot="0" count="4" xr9:uid="{00000000-0011-0000-FFFF-FFFF04000000}">
      <tableStyleElement type="wholeTable" size="0" dxfId="35"/>
      <tableStyleElement type="headerRow" dxfId="34"/>
      <tableStyleElement type="firstRowStripe" dxfId="33"/>
      <tableStyleElement type="secondRowStripe" dxfId="32"/>
    </tableStyle>
    <tableStyle name="Skills-style 6" pivot="0" count="4" xr9:uid="{00000000-0011-0000-FFFF-FFFF05000000}">
      <tableStyleElement type="wholeTable" size="0" dxfId="31"/>
      <tableStyleElement type="headerRow" dxfId="30"/>
      <tableStyleElement type="firstRowStripe" dxfId="29"/>
      <tableStyleElement type="secondRowStripe" dxfId="28"/>
    </tableStyle>
    <tableStyle name="Skills-style 7" pivot="0" count="4" xr9:uid="{00000000-0011-0000-FFFF-FFFF06000000}">
      <tableStyleElement type="wholeTable" size="0" dxfId="27"/>
      <tableStyleElement type="headerRow" dxfId="26"/>
      <tableStyleElement type="firstRowStripe" dxfId="25"/>
      <tableStyleElement type="secondRowStripe" dxfId="24"/>
    </tableStyle>
    <tableStyle name="Skills-style 8" pivot="0" count="4" xr9:uid="{00000000-0011-0000-FFFF-FFFF07000000}">
      <tableStyleElement type="wholeTable" size="0" dxfId="23"/>
      <tableStyleElement type="headerRow" dxfId="22"/>
      <tableStyleElement type="firstRowStripe" dxfId="21"/>
      <tableStyleElement type="secondRowStripe" dxfId="20"/>
    </tableStyle>
    <tableStyle name="Skills-style 9" pivot="0" count="4" xr9:uid="{00000000-0011-0000-FFFF-FFFF08000000}">
      <tableStyleElement type="wholeTable" size="0" dxfId="19"/>
      <tableStyleElement type="headerRow" dxfId="18"/>
      <tableStyleElement type="firstRowStripe" dxfId="17"/>
      <tableStyleElement type="secondRowStripe" dxfId="16"/>
    </tableStyle>
    <tableStyle name="Skills-style 10" pivot="0" count="4" xr9:uid="{00000000-0011-0000-FFFF-FFFF09000000}">
      <tableStyleElement type="wholeTable" size="0" dxfId="15"/>
      <tableStyleElement type="headerRow" dxfId="14"/>
      <tableStyleElement type="firstRowStripe" dxfId="13"/>
      <tableStyleElement type="secondRowStripe" dxfId="12"/>
    </tableStyle>
    <tableStyle name="Skills-style 11" pivot="0" count="4" xr9:uid="{00000000-0011-0000-FFFF-FFFF0A000000}">
      <tableStyleElement type="wholeTable" size="0" dxfId="11"/>
      <tableStyleElement type="headerRow" dxfId="10"/>
      <tableStyleElement type="firstRowStripe" dxfId="9"/>
      <tableStyleElement type="secondRowStripe" dxfId="8"/>
    </tableStyle>
    <tableStyle name="Skills-style 12" pivot="0" count="4" xr9:uid="{00000000-0011-0000-FFFF-FFFF0B000000}">
      <tableStyleElement type="wholeTable" size="0" dxfId="7"/>
      <tableStyleElement type="headerRow" dxfId="6"/>
      <tableStyleElement type="firstRowStripe" dxfId="5"/>
      <tableStyleElement type="secondRowStripe" dxfId="4"/>
    </tableStyle>
    <tableStyle name="FullTable-style" pivot="0" count="4" xr9:uid="{00000000-0011-0000-FFFF-FFFF0C000000}">
      <tableStyleElement type="wholeTable" size="0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D1" headerRowCount="0">
  <tableColumns count="1">
    <tableColumn id="1" xr3:uid="{00000000-0010-0000-0000-000001000000}" name="Column1"/>
  </tableColumns>
  <tableStyleInfo name="Skills-style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9000000}" name="Rigger" displayName="Rigger" ref="A103:G105">
  <tableColumns count="7">
    <tableColumn id="1" xr3:uid="{00000000-0010-0000-0900-000001000000}" name="Name"/>
    <tableColumn id="2" xr3:uid="{00000000-0010-0000-0900-000002000000}" name="Age"/>
    <tableColumn id="3" xr3:uid="{00000000-0010-0000-0900-000003000000}" name="Gender"/>
    <tableColumn id="4" xr3:uid="{00000000-0010-0000-0900-000004000000}" name="Number"/>
    <tableColumn id="5" xr3:uid="{00000000-0010-0000-0900-000005000000}" name="Language"/>
    <tableColumn id="6" xr3:uid="{00000000-0010-0000-0900-000006000000}" name="Skills"/>
    <tableColumn id="7" xr3:uid="{00000000-0010-0000-0900-000007000000}" name="Additional Information"/>
  </tableColumns>
  <tableStyleInfo name="Skills-style 10" showFirstColumn="1" showLastColumn="1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A000000}" name="Merchandise" displayName="Merchandise" ref="A108:G109">
  <tableColumns count="7">
    <tableColumn id="1" xr3:uid="{00000000-0010-0000-0A00-000001000000}" name="Name"/>
    <tableColumn id="2" xr3:uid="{00000000-0010-0000-0A00-000002000000}" name="Age"/>
    <tableColumn id="3" xr3:uid="{00000000-0010-0000-0A00-000003000000}" name="Gender"/>
    <tableColumn id="4" xr3:uid="{00000000-0010-0000-0A00-000004000000}" name="Number"/>
    <tableColumn id="5" xr3:uid="{00000000-0010-0000-0A00-000005000000}" name="Language"/>
    <tableColumn id="6" xr3:uid="{00000000-0010-0000-0A00-000006000000}" name="Skills"/>
    <tableColumn id="7" xr3:uid="{00000000-0010-0000-0A00-000007000000}" name="Additional Information"/>
  </tableColumns>
  <tableStyleInfo name="Skills-style 11" showFirstColumn="1" showLastColumn="1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B000000}" name="Assist" displayName="Assist" ref="A112:G116">
  <tableColumns count="7">
    <tableColumn id="1" xr3:uid="{00000000-0010-0000-0B00-000001000000}" name="Name"/>
    <tableColumn id="2" xr3:uid="{00000000-0010-0000-0B00-000002000000}" name="Age"/>
    <tableColumn id="3" xr3:uid="{00000000-0010-0000-0B00-000003000000}" name="Gender"/>
    <tableColumn id="4" xr3:uid="{00000000-0010-0000-0B00-000004000000}" name="Number"/>
    <tableColumn id="5" xr3:uid="{00000000-0010-0000-0B00-000005000000}" name="Language"/>
    <tableColumn id="6" xr3:uid="{00000000-0010-0000-0B00-000006000000}" name="Skills"/>
    <tableColumn id="7" xr3:uid="{00000000-0010-0000-0B00-000007000000}" name="Additional Information"/>
  </tableColumns>
  <tableStyleInfo name="Skills-style 12" showFirstColumn="1" showLastColumn="1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C000000}" name="Job_Questionnaires" displayName="Job_Questionnaires" ref="A1:G73">
  <tableColumns count="7">
    <tableColumn id="1" xr3:uid="{00000000-0010-0000-0C00-000001000000}" name="Fullname"/>
    <tableColumn id="2" xr3:uid="{00000000-0010-0000-0C00-000002000000}" name="Age"/>
    <tableColumn id="3" xr3:uid="{00000000-0010-0000-0C00-000003000000}" name="Gender"/>
    <tableColumn id="4" xr3:uid="{00000000-0010-0000-0C00-000004000000}" name="Phone Number"/>
    <tableColumn id="5" xr3:uid="{00000000-0010-0000-0C00-000005000000}" name="Language"/>
    <tableColumn id="6" xr3:uid="{00000000-0010-0000-0C00-000006000000}" name="Skills"/>
    <tableColumn id="7" xr3:uid="{00000000-0010-0000-0C00-000007000000}" name="Additional Information"/>
  </tableColumns>
  <tableStyleInfo name="FullTable-style" showFirstColumn="1" showLastColumn="1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Painting" displayName="Painting" ref="A2:G23">
  <tableColumns count="7">
    <tableColumn id="1" xr3:uid="{00000000-0010-0000-0100-000001000000}" name="Name"/>
    <tableColumn id="2" xr3:uid="{00000000-0010-0000-0100-000002000000}" name="Age"/>
    <tableColumn id="3" xr3:uid="{00000000-0010-0000-0100-000003000000}" name="Gender"/>
    <tableColumn id="4" xr3:uid="{00000000-0010-0000-0100-000004000000}" name="Number"/>
    <tableColumn id="5" xr3:uid="{00000000-0010-0000-0100-000005000000}" name="Language"/>
    <tableColumn id="6" xr3:uid="{00000000-0010-0000-0100-000006000000}" name="Skills"/>
    <tableColumn id="7" xr3:uid="{00000000-0010-0000-0100-000007000000}" name="Additional Information"/>
  </tableColumns>
  <tableStyleInfo name="Skills-style 2" showFirstColumn="1" showLastColumn="1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Electrical" displayName="Electrical" ref="A26:G32">
  <tableColumns count="7">
    <tableColumn id="1" xr3:uid="{00000000-0010-0000-0200-000001000000}" name="Name"/>
    <tableColumn id="2" xr3:uid="{00000000-0010-0000-0200-000002000000}" name="Age"/>
    <tableColumn id="3" xr3:uid="{00000000-0010-0000-0200-000003000000}" name="Gender"/>
    <tableColumn id="4" xr3:uid="{00000000-0010-0000-0200-000004000000}" name="Number"/>
    <tableColumn id="5" xr3:uid="{00000000-0010-0000-0200-000005000000}" name="Language"/>
    <tableColumn id="6" xr3:uid="{00000000-0010-0000-0200-000006000000}" name="Skills"/>
    <tableColumn id="7" xr3:uid="{00000000-0010-0000-0200-000007000000}" name="Additional Information"/>
  </tableColumns>
  <tableStyleInfo name="Skills-style 3" showFirstColumn="1" showLastColumn="1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Security" displayName="Security" ref="A35:G48">
  <tableColumns count="7">
    <tableColumn id="1" xr3:uid="{00000000-0010-0000-0300-000001000000}" name="Name"/>
    <tableColumn id="2" xr3:uid="{00000000-0010-0000-0300-000002000000}" name="Age"/>
    <tableColumn id="3" xr3:uid="{00000000-0010-0000-0300-000003000000}" name="Gender"/>
    <tableColumn id="4" xr3:uid="{00000000-0010-0000-0300-000004000000}" name="Number"/>
    <tableColumn id="5" xr3:uid="{00000000-0010-0000-0300-000005000000}" name="Language"/>
    <tableColumn id="6" xr3:uid="{00000000-0010-0000-0300-000006000000}" name="Skills"/>
    <tableColumn id="7" xr3:uid="{00000000-0010-0000-0300-000007000000}" name="Additional Information"/>
  </tableColumns>
  <tableStyleInfo name="Skills-style 4" showFirstColumn="1" showLastColumn="1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General" displayName="General" ref="A51:G70">
  <tableColumns count="7">
    <tableColumn id="1" xr3:uid="{00000000-0010-0000-0400-000001000000}" name="Name"/>
    <tableColumn id="2" xr3:uid="{00000000-0010-0000-0400-000002000000}" name="Age"/>
    <tableColumn id="3" xr3:uid="{00000000-0010-0000-0400-000003000000}" name="Gender"/>
    <tableColumn id="4" xr3:uid="{00000000-0010-0000-0400-000004000000}" name="Number"/>
    <tableColumn id="5" xr3:uid="{00000000-0010-0000-0400-000005000000}" name="Language"/>
    <tableColumn id="6" xr3:uid="{00000000-0010-0000-0400-000006000000}" name="Skills"/>
    <tableColumn id="7" xr3:uid="{00000000-0010-0000-0400-000007000000}" name="Additional Information"/>
  </tableColumns>
  <tableStyleInfo name="Skills-style 5" showFirstColumn="1" showLastColumn="1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Garden" displayName="Garden" ref="A73:G82">
  <tableColumns count="7">
    <tableColumn id="1" xr3:uid="{00000000-0010-0000-0500-000001000000}" name="Name"/>
    <tableColumn id="2" xr3:uid="{00000000-0010-0000-0500-000002000000}" name="Age"/>
    <tableColumn id="3" xr3:uid="{00000000-0010-0000-0500-000003000000}" name="Gender"/>
    <tableColumn id="4" xr3:uid="{00000000-0010-0000-0500-000004000000}" name="Number"/>
    <tableColumn id="5" xr3:uid="{00000000-0010-0000-0500-000005000000}" name="Language"/>
    <tableColumn id="6" xr3:uid="{00000000-0010-0000-0500-000006000000}" name="Skills"/>
    <tableColumn id="7" xr3:uid="{00000000-0010-0000-0500-000007000000}" name="Additional Information"/>
  </tableColumns>
  <tableStyleInfo name="Skills-style 6" showFirstColumn="1" showLastColumn="1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Admin" displayName="Admin" ref="A85:G86">
  <tableColumns count="7">
    <tableColumn id="1" xr3:uid="{00000000-0010-0000-0600-000001000000}" name="Name"/>
    <tableColumn id="2" xr3:uid="{00000000-0010-0000-0600-000002000000}" name="Age"/>
    <tableColumn id="3" xr3:uid="{00000000-0010-0000-0600-000003000000}" name="Gender"/>
    <tableColumn id="4" xr3:uid="{00000000-0010-0000-0600-000004000000}" name="Number"/>
    <tableColumn id="5" xr3:uid="{00000000-0010-0000-0600-000005000000}" name="Language"/>
    <tableColumn id="6" xr3:uid="{00000000-0010-0000-0600-000006000000}" name="Skills"/>
    <tableColumn id="7" xr3:uid="{00000000-0010-0000-0600-000007000000}" name="Additional Information"/>
  </tableColumns>
  <tableStyleInfo name="Skills-style 7" showFirstColumn="1" showLastColumn="1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Drives" displayName="Drives" ref="A89:G95">
  <tableColumns count="7">
    <tableColumn id="1" xr3:uid="{00000000-0010-0000-0700-000001000000}" name="Name"/>
    <tableColumn id="2" xr3:uid="{00000000-0010-0000-0700-000002000000}" name="Age"/>
    <tableColumn id="3" xr3:uid="{00000000-0010-0000-0700-000003000000}" name="Gender"/>
    <tableColumn id="4" xr3:uid="{00000000-0010-0000-0700-000004000000}" name="Number"/>
    <tableColumn id="5" xr3:uid="{00000000-0010-0000-0700-000005000000}" name="Language"/>
    <tableColumn id="6" xr3:uid="{00000000-0010-0000-0700-000006000000}" name="Skills"/>
    <tableColumn id="7" xr3:uid="{00000000-0010-0000-0700-000007000000}" name="Additional Information"/>
  </tableColumns>
  <tableStyleInfo name="Skills-style 8" showFirstColumn="1" showLastColumn="1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8000000}" name="Domestic" displayName="Domestic" ref="A98:G100">
  <tableColumns count="7">
    <tableColumn id="1" xr3:uid="{00000000-0010-0000-0800-000001000000}" name="Name"/>
    <tableColumn id="2" xr3:uid="{00000000-0010-0000-0800-000002000000}" name="Age"/>
    <tableColumn id="3" xr3:uid="{00000000-0010-0000-0800-000003000000}" name="Gender"/>
    <tableColumn id="4" xr3:uid="{00000000-0010-0000-0800-000004000000}" name="Number"/>
    <tableColumn id="5" xr3:uid="{00000000-0010-0000-0800-000005000000}" name="Language"/>
    <tableColumn id="6" xr3:uid="{00000000-0010-0000-0800-000006000000}" name="Skills"/>
    <tableColumn id="7" xr3:uid="{00000000-0010-0000-0800-000007000000}" name="Additional Information"/>
  </tableColumns>
  <tableStyleInfo name="Skills-style 9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12" Type="http://schemas.openxmlformats.org/officeDocument/2006/relationships/table" Target="../tables/table12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11" Type="http://schemas.openxmlformats.org/officeDocument/2006/relationships/table" Target="../tables/table11.xml"/><Relationship Id="rId5" Type="http://schemas.openxmlformats.org/officeDocument/2006/relationships/table" Target="../tables/table5.xml"/><Relationship Id="rId10" Type="http://schemas.openxmlformats.org/officeDocument/2006/relationships/table" Target="../tables/table10.xml"/><Relationship Id="rId4" Type="http://schemas.openxmlformats.org/officeDocument/2006/relationships/table" Target="../tables/table4.xml"/><Relationship Id="rId9" Type="http://schemas.openxmlformats.org/officeDocument/2006/relationships/table" Target="../tables/table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G116"/>
  <sheetViews>
    <sheetView topLeftCell="D106" workbookViewId="0">
      <selection activeCell="G121" sqref="G121"/>
    </sheetView>
  </sheetViews>
  <sheetFormatPr defaultColWidth="12.5703125" defaultRowHeight="15.75" customHeight="1" x14ac:dyDescent="0.2"/>
  <cols>
    <col min="1" max="1" width="23.42578125" customWidth="1"/>
    <col min="2" max="2" width="8.42578125" customWidth="1"/>
    <col min="3" max="3" width="9.7109375" customWidth="1"/>
    <col min="4" max="4" width="29.28515625" customWidth="1"/>
    <col min="5" max="5" width="32.85546875" customWidth="1"/>
    <col min="6" max="6" width="18.140625" customWidth="1"/>
    <col min="7" max="7" width="107" customWidth="1"/>
  </cols>
  <sheetData>
    <row r="1" spans="1:7" ht="25.5" x14ac:dyDescent="0.35">
      <c r="A1" s="1"/>
      <c r="B1" s="1"/>
      <c r="C1" s="1"/>
      <c r="D1" s="2" t="s">
        <v>0</v>
      </c>
      <c r="E1" s="1"/>
      <c r="F1" s="3"/>
      <c r="G1" s="1"/>
    </row>
    <row r="2" spans="1:7" ht="22.5" customHeight="1" x14ac:dyDescent="0.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 ht="22.5" customHeight="1" x14ac:dyDescent="0.2">
      <c r="A3" s="5" t="str">
        <f ca="1">IFERROR(__xludf.DUMMYFUNCTION("QUERY(FullTable!A1:G60, ""SELECT * WHERE F contains 'Paint' OR G contains 'Paint'"", 0)"),"Albert Tsima")</f>
        <v>Albert Tsima</v>
      </c>
      <c r="B3" s="5">
        <f ca="1">IFERROR(__xludf.DUMMYFUNCTION("""COMPUTED_VALUE"""),44)</f>
        <v>44</v>
      </c>
      <c r="C3" s="5" t="str">
        <f ca="1">IFERROR(__xludf.DUMMYFUNCTION("""COMPUTED_VALUE"""),"Male")</f>
        <v>Male</v>
      </c>
      <c r="D3" s="5" t="str">
        <f ca="1">IFERROR(__xludf.DUMMYFUNCTION("""COMPUTED_VALUE""")," +27 0661300152")</f>
        <v xml:space="preserve"> +27 0661300152</v>
      </c>
      <c r="E3" s="5" t="str">
        <f ca="1">IFERROR(__xludf.DUMMYFUNCTION("""COMPUTED_VALUE"""),"English")</f>
        <v>English</v>
      </c>
      <c r="F3" s="5" t="str">
        <f ca="1">IFERROR(__xludf.DUMMYFUNCTION("""COMPUTED_VALUE"""),"Electrician")</f>
        <v>Electrician</v>
      </c>
      <c r="G3" s="5" t="str">
        <f ca="1">IFERROR(__xludf.DUMMYFUNCTION("""COMPUTED_VALUE"""),"Painting, 14 years")</f>
        <v>Painting, 14 years</v>
      </c>
    </row>
    <row r="4" spans="1:7" ht="22.5" customHeight="1" x14ac:dyDescent="0.2">
      <c r="A4" s="5" t="str">
        <f ca="1">IFERROR(__xludf.DUMMYFUNCTION("""COMPUTED_VALUE"""),"Daniel Mapoepoe Komane")</f>
        <v>Daniel Mapoepoe Komane</v>
      </c>
      <c r="B4" s="5">
        <f ca="1">IFERROR(__xludf.DUMMYFUNCTION("""COMPUTED_VALUE"""),49)</f>
        <v>49</v>
      </c>
      <c r="C4" s="5" t="str">
        <f ca="1">IFERROR(__xludf.DUMMYFUNCTION("""COMPUTED_VALUE"""),"Male")</f>
        <v>Male</v>
      </c>
      <c r="D4" s="5" t="str">
        <f ca="1">IFERROR(__xludf.DUMMYFUNCTION("""COMPUTED_VALUE""")," +27 0725793864")</f>
        <v xml:space="preserve"> +27 0725793864</v>
      </c>
      <c r="E4" s="5" t="str">
        <f ca="1">IFERROR(__xludf.DUMMYFUNCTION("""COMPUTED_VALUE"""),"North Sotho, English")</f>
        <v>North Sotho, English</v>
      </c>
      <c r="F4" s="5" t="str">
        <f ca="1">IFERROR(__xludf.DUMMYFUNCTION("""COMPUTED_VALUE"""),"Painter")</f>
        <v>Painter</v>
      </c>
      <c r="G4" s="5" t="str">
        <f ca="1">IFERROR(__xludf.DUMMYFUNCTION("""COMPUTED_VALUE"""),"Refrigeration, Plumber, Gardener, Maintenance")</f>
        <v>Refrigeration, Plumber, Gardener, Maintenance</v>
      </c>
    </row>
    <row r="5" spans="1:7" ht="22.5" customHeight="1" x14ac:dyDescent="0.2">
      <c r="A5" s="5" t="str">
        <f ca="1">IFERROR(__xludf.DUMMYFUNCTION("""COMPUTED_VALUE"""),"Dennies Phahlana")</f>
        <v>Dennies Phahlana</v>
      </c>
      <c r="B5" s="5">
        <f ca="1">IFERROR(__xludf.DUMMYFUNCTION("""COMPUTED_VALUE"""),45)</f>
        <v>45</v>
      </c>
      <c r="C5" s="5" t="str">
        <f ca="1">IFERROR(__xludf.DUMMYFUNCTION("""COMPUTED_VALUE"""),"Male")</f>
        <v>Male</v>
      </c>
      <c r="D5" s="5" t="str">
        <f ca="1">IFERROR(__xludf.DUMMYFUNCTION("""COMPUTED_VALUE""")," +27 0763885014/0661056256")</f>
        <v xml:space="preserve"> +27 0763885014/0661056256</v>
      </c>
      <c r="E5" s="5" t="str">
        <f ca="1">IFERROR(__xludf.DUMMYFUNCTION("""COMPUTED_VALUE"""),"North Sepedi")</f>
        <v>North Sepedi</v>
      </c>
      <c r="F5" s="5" t="str">
        <f ca="1">IFERROR(__xludf.DUMMYFUNCTION("""COMPUTED_VALUE"""),"Painting")</f>
        <v>Painting</v>
      </c>
      <c r="G5" s="5" t="str">
        <f ca="1">IFERROR(__xludf.DUMMYFUNCTION("""COMPUTED_VALUE"""),"General Worker")</f>
        <v>General Worker</v>
      </c>
    </row>
    <row r="6" spans="1:7" ht="22.5" customHeight="1" x14ac:dyDescent="0.2">
      <c r="A6" s="5" t="str">
        <f ca="1">IFERROR(__xludf.DUMMYFUNCTION("""COMPUTED_VALUE"""),"Desmond Zamani Zulu")</f>
        <v>Desmond Zamani Zulu</v>
      </c>
      <c r="B6" s="5">
        <f ca="1">IFERROR(__xludf.DUMMYFUNCTION("""COMPUTED_VALUE"""),41)</f>
        <v>41</v>
      </c>
      <c r="C6" s="5" t="str">
        <f ca="1">IFERROR(__xludf.DUMMYFUNCTION("""COMPUTED_VALUE"""),"Male")</f>
        <v>Male</v>
      </c>
      <c r="D6" s="5" t="str">
        <f ca="1">IFERROR(__xludf.DUMMYFUNCTION("""COMPUTED_VALUE""")," +27 0836637663")</f>
        <v xml:space="preserve"> +27 0836637663</v>
      </c>
      <c r="E6" s="5" t="str">
        <f ca="1">IFERROR(__xludf.DUMMYFUNCTION("""COMPUTED_VALUE"""),"English, Zulu")</f>
        <v>English, Zulu</v>
      </c>
      <c r="F6" s="5" t="str">
        <f ca="1">IFERROR(__xludf.DUMMYFUNCTION("""COMPUTED_VALUE"""),"Security Officer")</f>
        <v>Security Officer</v>
      </c>
      <c r="G6" s="5" t="str">
        <f ca="1">IFERROR(__xludf.DUMMYFUNCTION("""COMPUTED_VALUE"""),"General work, Painting, Gardening, Reaction, Driver's licence, Firearm Competency")</f>
        <v>General work, Painting, Gardening, Reaction, Driver's licence, Firearm Competency</v>
      </c>
    </row>
    <row r="7" spans="1:7" ht="22.5" customHeight="1" x14ac:dyDescent="0.2">
      <c r="A7" s="5" t="str">
        <f ca="1">IFERROR(__xludf.DUMMYFUNCTION("""COMPUTED_VALUE"""),"Duwisami Jeffrey Nkosi")</f>
        <v>Duwisami Jeffrey Nkosi</v>
      </c>
      <c r="B7" s="5">
        <f ca="1">IFERROR(__xludf.DUMMYFUNCTION("""COMPUTED_VALUE"""),44)</f>
        <v>44</v>
      </c>
      <c r="C7" s="5" t="str">
        <f ca="1">IFERROR(__xludf.DUMMYFUNCTION("""COMPUTED_VALUE"""),"Male")</f>
        <v>Male</v>
      </c>
      <c r="D7" s="5" t="str">
        <f ca="1">IFERROR(__xludf.DUMMYFUNCTION("""COMPUTED_VALUE""")," +27 0767432753")</f>
        <v xml:space="preserve"> +27 0767432753</v>
      </c>
      <c r="E7" s="5" t="str">
        <f ca="1">IFERROR(__xludf.DUMMYFUNCTION("""COMPUTED_VALUE"""),"English, Zulu")</f>
        <v>English, Zulu</v>
      </c>
      <c r="F7" s="5" t="str">
        <f ca="1">IFERROR(__xludf.DUMMYFUNCTION("""COMPUTED_VALUE"""),"Underground Worker")</f>
        <v>Underground Worker</v>
      </c>
      <c r="G7" s="5" t="str">
        <f ca="1">IFERROR(__xludf.DUMMYFUNCTION("""COMPUTED_VALUE"""),"Laboratory, Departure for washibility floor, Sink coal, Painting")</f>
        <v>Laboratory, Departure for washibility floor, Sink coal, Painting</v>
      </c>
    </row>
    <row r="8" spans="1:7" ht="22.5" customHeight="1" x14ac:dyDescent="0.2">
      <c r="A8" s="5" t="str">
        <f ca="1">IFERROR(__xludf.DUMMYFUNCTION("""COMPUTED_VALUE"""),"Eliah Kodi")</f>
        <v>Eliah Kodi</v>
      </c>
      <c r="B8" s="5">
        <f ca="1">IFERROR(__xludf.DUMMYFUNCTION("""COMPUTED_VALUE"""),28)</f>
        <v>28</v>
      </c>
      <c r="C8" s="5" t="str">
        <f ca="1">IFERROR(__xludf.DUMMYFUNCTION("""COMPUTED_VALUE"""),"Male")</f>
        <v>Male</v>
      </c>
      <c r="D8" s="5" t="str">
        <f ca="1">IFERROR(__xludf.DUMMYFUNCTION("""COMPUTED_VALUE""")," +27 0791140622")</f>
        <v xml:space="preserve"> +27 0791140622</v>
      </c>
      <c r="E8" s="5" t="str">
        <f ca="1">IFERROR(__xludf.DUMMYFUNCTION("""COMPUTED_VALUE"""),"North Sotho")</f>
        <v>North Sotho</v>
      </c>
      <c r="F8" s="5" t="str">
        <f ca="1">IFERROR(__xludf.DUMMYFUNCTION("""COMPUTED_VALUE"""),"Electrical")</f>
        <v>Electrical</v>
      </c>
      <c r="G8" s="5" t="str">
        <f ca="1">IFERROR(__xludf.DUMMYFUNCTION("""COMPUTED_VALUE"""),"Painting. I am Critical thinking and problem solver")</f>
        <v>Painting. I am Critical thinking and problem solver</v>
      </c>
    </row>
    <row r="9" spans="1:7" ht="22.5" customHeight="1" x14ac:dyDescent="0.2">
      <c r="A9" s="5" t="str">
        <f ca="1">IFERROR(__xludf.DUMMYFUNCTION("""COMPUTED_VALUE"""),"Fanny")</f>
        <v>Fanny</v>
      </c>
      <c r="B9" s="5">
        <f ca="1">IFERROR(__xludf.DUMMYFUNCTION("""COMPUTED_VALUE"""),52)</f>
        <v>52</v>
      </c>
      <c r="C9" s="5" t="str">
        <f ca="1">IFERROR(__xludf.DUMMYFUNCTION("""COMPUTED_VALUE"""),"Male")</f>
        <v>Male</v>
      </c>
      <c r="D9" s="5" t="str">
        <f ca="1">IFERROR(__xludf.DUMMYFUNCTION("""COMPUTED_VALUE""")," +27 0763885014")</f>
        <v xml:space="preserve"> +27 0763885014</v>
      </c>
      <c r="E9" s="5" t="str">
        <f ca="1">IFERROR(__xludf.DUMMYFUNCTION("""COMPUTED_VALUE"""),"Ndebele, Afrikaans, English")</f>
        <v>Ndebele, Afrikaans, English</v>
      </c>
      <c r="F9" s="5" t="str">
        <f ca="1">IFERROR(__xludf.DUMMYFUNCTION("""COMPUTED_VALUE"""),"Painter")</f>
        <v>Painter</v>
      </c>
      <c r="G9" s="5" t="str">
        <f ca="1">IFERROR(__xludf.DUMMYFUNCTION("""COMPUTED_VALUE"""),"General Worker, Plaster")</f>
        <v>General Worker, Plaster</v>
      </c>
    </row>
    <row r="10" spans="1:7" ht="22.5" customHeight="1" x14ac:dyDescent="0.2">
      <c r="A10" s="5" t="str">
        <f ca="1">IFERROR(__xludf.DUMMYFUNCTION("""COMPUTED_VALUE"""),"Ismary Molema")</f>
        <v>Ismary Molema</v>
      </c>
      <c r="B10" s="5">
        <f ca="1">IFERROR(__xludf.DUMMYFUNCTION("""COMPUTED_VALUE"""),52)</f>
        <v>52</v>
      </c>
      <c r="C10" s="5" t="str">
        <f ca="1">IFERROR(__xludf.DUMMYFUNCTION("""COMPUTED_VALUE"""),"Male")</f>
        <v>Male</v>
      </c>
      <c r="D10" s="5" t="str">
        <f ca="1">IFERROR(__xludf.DUMMYFUNCTION("""COMPUTED_VALUE""")," +27 0729267885")</f>
        <v xml:space="preserve"> +27 0729267885</v>
      </c>
      <c r="E10" s="5" t="str">
        <f ca="1">IFERROR(__xludf.DUMMYFUNCTION("""COMPUTED_VALUE"""),"Portuguese")</f>
        <v>Portuguese</v>
      </c>
      <c r="F10" s="5" t="str">
        <f ca="1">IFERROR(__xludf.DUMMYFUNCTION("""COMPUTED_VALUE"""),"Painting")</f>
        <v>Painting</v>
      </c>
      <c r="G10" s="5" t="str">
        <f ca="1">IFERROR(__xludf.DUMMYFUNCTION("""COMPUTED_VALUE"""),"Construction, Gardening/Operating lawn mowing machine")</f>
        <v>Construction, Gardening/Operating lawn mowing machine</v>
      </c>
    </row>
    <row r="11" spans="1:7" ht="22.5" customHeight="1" x14ac:dyDescent="0.2">
      <c r="A11" s="5" t="str">
        <f ca="1">IFERROR(__xludf.DUMMYFUNCTION("""COMPUTED_VALUE"""),"Jim Thobejane")</f>
        <v>Jim Thobejane</v>
      </c>
      <c r="B11" s="5">
        <f ca="1">IFERROR(__xludf.DUMMYFUNCTION("""COMPUTED_VALUE"""),55)</f>
        <v>55</v>
      </c>
      <c r="C11" s="5" t="str">
        <f ca="1">IFERROR(__xludf.DUMMYFUNCTION("""COMPUTED_VALUE"""),"Male")</f>
        <v>Male</v>
      </c>
      <c r="D11" s="5" t="str">
        <f ca="1">IFERROR(__xludf.DUMMYFUNCTION("""COMPUTED_VALUE""")," +27 0647253712")</f>
        <v xml:space="preserve"> +27 0647253712</v>
      </c>
      <c r="E11" s="5" t="str">
        <f ca="1">IFERROR(__xludf.DUMMYFUNCTION("""COMPUTED_VALUE"""),"Sepedi")</f>
        <v>Sepedi</v>
      </c>
      <c r="F11" s="5" t="str">
        <f ca="1">IFERROR(__xludf.DUMMYFUNCTION("""COMPUTED_VALUE"""),"Painting")</f>
        <v>Painting</v>
      </c>
      <c r="G11" s="5" t="str">
        <f ca="1">IFERROR(__xludf.DUMMYFUNCTION("""COMPUTED_VALUE"""),"Gardener")</f>
        <v>Gardener</v>
      </c>
    </row>
    <row r="12" spans="1:7" ht="22.5" customHeight="1" x14ac:dyDescent="0.2">
      <c r="A12" s="5" t="str">
        <f ca="1">IFERROR(__xludf.DUMMYFUNCTION("""COMPUTED_VALUE"""),"Johnny Mamagobo")</f>
        <v>Johnny Mamagobo</v>
      </c>
      <c r="B12" s="5">
        <f ca="1">IFERROR(__xludf.DUMMYFUNCTION("""COMPUTED_VALUE"""),32)</f>
        <v>32</v>
      </c>
      <c r="C12" s="5" t="str">
        <f ca="1">IFERROR(__xludf.DUMMYFUNCTION("""COMPUTED_VALUE"""),"Male")</f>
        <v>Male</v>
      </c>
      <c r="D12" s="5" t="str">
        <f ca="1">IFERROR(__xludf.DUMMYFUNCTION("""COMPUTED_VALUE""")," +27 0822690481")</f>
        <v xml:space="preserve"> +27 0822690481</v>
      </c>
      <c r="E12" s="5" t="str">
        <f ca="1">IFERROR(__xludf.DUMMYFUNCTION("""COMPUTED_VALUE"""),"Sepedi")</f>
        <v>Sepedi</v>
      </c>
      <c r="F12" s="5" t="str">
        <f ca="1">IFERROR(__xludf.DUMMYFUNCTION("""COMPUTED_VALUE"""),"Painting")</f>
        <v>Painting</v>
      </c>
      <c r="G12" s="5" t="str">
        <f ca="1">IFERROR(__xludf.DUMMYFUNCTION("""COMPUTED_VALUE"""),"None")</f>
        <v>None</v>
      </c>
    </row>
    <row r="13" spans="1:7" ht="22.5" customHeight="1" x14ac:dyDescent="0.2">
      <c r="A13" s="5" t="str">
        <f ca="1">IFERROR(__xludf.DUMMYFUNCTION("""COMPUTED_VALUE"""),"Johonnes Sukaz")</f>
        <v>Johonnes Sukaz</v>
      </c>
      <c r="B13" s="5">
        <f ca="1">IFERROR(__xludf.DUMMYFUNCTION("""COMPUTED_VALUE"""),52)</f>
        <v>52</v>
      </c>
      <c r="C13" s="5" t="str">
        <f ca="1">IFERROR(__xludf.DUMMYFUNCTION("""COMPUTED_VALUE"""),"Male")</f>
        <v>Male</v>
      </c>
      <c r="D13" s="5" t="str">
        <f ca="1">IFERROR(__xludf.DUMMYFUNCTION("""COMPUTED_VALUE""")," +27 0798203567")</f>
        <v xml:space="preserve"> +27 0798203567</v>
      </c>
      <c r="E13" s="5" t="str">
        <f ca="1">IFERROR(__xludf.DUMMYFUNCTION("""COMPUTED_VALUE"""),"Zulu")</f>
        <v>Zulu</v>
      </c>
      <c r="F13" s="5" t="str">
        <f ca="1">IFERROR(__xludf.DUMMYFUNCTION("""COMPUTED_VALUE"""),"Gardening")</f>
        <v>Gardening</v>
      </c>
      <c r="G13" s="5" t="str">
        <f ca="1">IFERROR(__xludf.DUMMYFUNCTION("""COMPUTED_VALUE"""),"Painter ")</f>
        <v xml:space="preserve">Painter </v>
      </c>
    </row>
    <row r="14" spans="1:7" ht="22.5" customHeight="1" x14ac:dyDescent="0.2">
      <c r="A14" s="5" t="str">
        <f ca="1">IFERROR(__xludf.DUMMYFUNCTION("""COMPUTED_VALUE"""),"Joseph Mahomane")</f>
        <v>Joseph Mahomane</v>
      </c>
      <c r="B14" s="5">
        <f ca="1">IFERROR(__xludf.DUMMYFUNCTION("""COMPUTED_VALUE"""),39)</f>
        <v>39</v>
      </c>
      <c r="C14" s="5" t="str">
        <f ca="1">IFERROR(__xludf.DUMMYFUNCTION("""COMPUTED_VALUE"""),"Male")</f>
        <v>Male</v>
      </c>
      <c r="D14" s="5" t="str">
        <f ca="1">IFERROR(__xludf.DUMMYFUNCTION("""COMPUTED_VALUE""")," +27 0783857516")</f>
        <v xml:space="preserve"> +27 0783857516</v>
      </c>
      <c r="E14" s="5" t="str">
        <f ca="1">IFERROR(__xludf.DUMMYFUNCTION("""COMPUTED_VALUE"""),"Zulu")</f>
        <v>Zulu</v>
      </c>
      <c r="F14" s="5" t="str">
        <f ca="1">IFERROR(__xludf.DUMMYFUNCTION("""COMPUTED_VALUE"""),"Painter")</f>
        <v>Painter</v>
      </c>
      <c r="G14" s="5" t="str">
        <f ca="1">IFERROR(__xludf.DUMMYFUNCTION("""COMPUTED_VALUE"""),"None")</f>
        <v>None</v>
      </c>
    </row>
    <row r="15" spans="1:7" ht="22.5" customHeight="1" x14ac:dyDescent="0.2">
      <c r="A15" s="5" t="str">
        <f ca="1">IFERROR(__xludf.DUMMYFUNCTION("""COMPUTED_VALUE"""),"Joseph Ngwenya")</f>
        <v>Joseph Ngwenya</v>
      </c>
      <c r="B15" s="5">
        <f ca="1">IFERROR(__xludf.DUMMYFUNCTION("""COMPUTED_VALUE"""),49)</f>
        <v>49</v>
      </c>
      <c r="C15" s="5" t="str">
        <f ca="1">IFERROR(__xludf.DUMMYFUNCTION("""COMPUTED_VALUE"""),"Male")</f>
        <v>Male</v>
      </c>
      <c r="D15" s="5" t="str">
        <f ca="1">IFERROR(__xludf.DUMMYFUNCTION("""COMPUTED_VALUE""")," +27 0660137833/0840510638")</f>
        <v xml:space="preserve"> +27 0660137833/0840510638</v>
      </c>
      <c r="E15" s="5" t="str">
        <f ca="1">IFERROR(__xludf.DUMMYFUNCTION("""COMPUTED_VALUE"""),"English, Zulu")</f>
        <v>English, Zulu</v>
      </c>
      <c r="F15" s="5" t="str">
        <f ca="1">IFERROR(__xludf.DUMMYFUNCTION("""COMPUTED_VALUE"""),"Rigger")</f>
        <v>Rigger</v>
      </c>
      <c r="G15" s="5" t="str">
        <f ca="1">IFERROR(__xludf.DUMMYFUNCTION("""COMPUTED_VALUE"""),"Painter, Paving, 2006-2021 as a rigger Edwardo construction, Midco labour Hire")</f>
        <v>Painter, Paving, 2006-2021 as a rigger Edwardo construction, Midco labour Hire</v>
      </c>
    </row>
    <row r="16" spans="1:7" ht="22.5" customHeight="1" x14ac:dyDescent="0.2">
      <c r="A16" s="5" t="str">
        <f ca="1">IFERROR(__xludf.DUMMYFUNCTION("""COMPUTED_VALUE"""),"Kenneth Zulu")</f>
        <v>Kenneth Zulu</v>
      </c>
      <c r="B16" s="5">
        <f ca="1">IFERROR(__xludf.DUMMYFUNCTION("""COMPUTED_VALUE"""),35)</f>
        <v>35</v>
      </c>
      <c r="C16" s="5" t="str">
        <f ca="1">IFERROR(__xludf.DUMMYFUNCTION("""COMPUTED_VALUE"""),"Male")</f>
        <v>Male</v>
      </c>
      <c r="D16" s="5" t="str">
        <f ca="1">IFERROR(__xludf.DUMMYFUNCTION("""COMPUTED_VALUE""")," +27 0763544014")</f>
        <v xml:space="preserve"> +27 0763544014</v>
      </c>
      <c r="E16" s="5" t="str">
        <f ca="1">IFERROR(__xludf.DUMMYFUNCTION("""COMPUTED_VALUE"""),"Zulu, English")</f>
        <v>Zulu, English</v>
      </c>
      <c r="F16" s="5" t="str">
        <f ca="1">IFERROR(__xludf.DUMMYFUNCTION("""COMPUTED_VALUE"""),"Painter")</f>
        <v>Painter</v>
      </c>
      <c r="G16" s="5"/>
    </row>
    <row r="17" spans="1:7" ht="22.5" customHeight="1" x14ac:dyDescent="0.2">
      <c r="A17" s="5" t="str">
        <f ca="1">IFERROR(__xludf.DUMMYFUNCTION("""COMPUTED_VALUE"""),"Lucky Tiou")</f>
        <v>Lucky Tiou</v>
      </c>
      <c r="B17" s="5">
        <f ca="1">IFERROR(__xludf.DUMMYFUNCTION("""COMPUTED_VALUE"""),48)</f>
        <v>48</v>
      </c>
      <c r="C17" s="5" t="str">
        <f ca="1">IFERROR(__xludf.DUMMYFUNCTION("""COMPUTED_VALUE"""),"Male")</f>
        <v>Male</v>
      </c>
      <c r="D17" s="5" t="str">
        <f ca="1">IFERROR(__xludf.DUMMYFUNCTION("""COMPUTED_VALUE""")," +27 0762343454")</f>
        <v xml:space="preserve"> +27 0762343454</v>
      </c>
      <c r="E17" s="5" t="str">
        <f ca="1">IFERROR(__xludf.DUMMYFUNCTION("""COMPUTED_VALUE"""),"English, Zulu")</f>
        <v>English, Zulu</v>
      </c>
      <c r="F17" s="5" t="str">
        <f ca="1">IFERROR(__xludf.DUMMYFUNCTION("""COMPUTED_VALUE"""),"Painting")</f>
        <v>Painting</v>
      </c>
      <c r="G17" s="5" t="str">
        <f ca="1">IFERROR(__xludf.DUMMYFUNCTION("""COMPUTED_VALUE"""),"Carpentry. I am working hard for 13 years on benches")</f>
        <v>Carpentry. I am working hard for 13 years on benches</v>
      </c>
    </row>
    <row r="18" spans="1:7" ht="22.5" customHeight="1" x14ac:dyDescent="0.2">
      <c r="A18" s="5" t="str">
        <f ca="1">IFERROR(__xludf.DUMMYFUNCTION("""COMPUTED_VALUE"""),"Magolego Bethuel Maputuku")</f>
        <v>Magolego Bethuel Maputuku</v>
      </c>
      <c r="B18" s="5">
        <f ca="1">IFERROR(__xludf.DUMMYFUNCTION("""COMPUTED_VALUE"""),42)</f>
        <v>42</v>
      </c>
      <c r="C18" s="5" t="str">
        <f ca="1">IFERROR(__xludf.DUMMYFUNCTION("""COMPUTED_VALUE"""),"Male")</f>
        <v>Male</v>
      </c>
      <c r="D18" s="5" t="str">
        <f ca="1">IFERROR(__xludf.DUMMYFUNCTION("""COMPUTED_VALUE""")," +27 0664108712")</f>
        <v xml:space="preserve"> +27 0664108712</v>
      </c>
      <c r="E18" s="5" t="str">
        <f ca="1">IFERROR(__xludf.DUMMYFUNCTION("""COMPUTED_VALUE"""),"English, Sepedi")</f>
        <v>English, Sepedi</v>
      </c>
      <c r="F18" s="5" t="str">
        <f ca="1">IFERROR(__xludf.DUMMYFUNCTION("""COMPUTED_VALUE"""),"General Worker")</f>
        <v>General Worker</v>
      </c>
      <c r="G18" s="5" t="str">
        <f ca="1">IFERROR(__xludf.DUMMYFUNCTION("""COMPUTED_VALUE"""),"Five years in Painting")</f>
        <v>Five years in Painting</v>
      </c>
    </row>
    <row r="19" spans="1:7" ht="22.5" customHeight="1" x14ac:dyDescent="0.2">
      <c r="A19" s="5" t="str">
        <f ca="1">IFERROR(__xludf.DUMMYFUNCTION("""COMPUTED_VALUE"""),"Samson")</f>
        <v>Samson</v>
      </c>
      <c r="B19" s="5">
        <f ca="1">IFERROR(__xludf.DUMMYFUNCTION("""COMPUTED_VALUE"""),75)</f>
        <v>75</v>
      </c>
      <c r="C19" s="5" t="str">
        <f ca="1">IFERROR(__xludf.DUMMYFUNCTION("""COMPUTED_VALUE"""),"Male")</f>
        <v>Male</v>
      </c>
      <c r="D19" s="5" t="str">
        <f ca="1">IFERROR(__xludf.DUMMYFUNCTION("""COMPUTED_VALUE""")," +27 0761431751")</f>
        <v xml:space="preserve"> +27 0761431751</v>
      </c>
      <c r="E19" s="5" t="str">
        <f ca="1">IFERROR(__xludf.DUMMYFUNCTION("""COMPUTED_VALUE"""),"North Sephedi")</f>
        <v>North Sephedi</v>
      </c>
      <c r="F19" s="5" t="str">
        <f ca="1">IFERROR(__xludf.DUMMYFUNCTION("""COMPUTED_VALUE"""),"Painter")</f>
        <v>Painter</v>
      </c>
      <c r="G19" s="5" t="str">
        <f ca="1">IFERROR(__xludf.DUMMYFUNCTION("""COMPUTED_VALUE"""),"Painting")</f>
        <v>Painting</v>
      </c>
    </row>
    <row r="20" spans="1:7" ht="22.5" customHeight="1" x14ac:dyDescent="0.2">
      <c r="A20" s="5" t="str">
        <f ca="1">IFERROR(__xludf.DUMMYFUNCTION("""COMPUTED_VALUE"""),"Senzo Sibiya")</f>
        <v>Senzo Sibiya</v>
      </c>
      <c r="B20" s="5">
        <f ca="1">IFERROR(__xludf.DUMMYFUNCTION("""COMPUTED_VALUE"""),46)</f>
        <v>46</v>
      </c>
      <c r="C20" s="5" t="str">
        <f ca="1">IFERROR(__xludf.DUMMYFUNCTION("""COMPUTED_VALUE"""),"Male")</f>
        <v>Male</v>
      </c>
      <c r="D20" s="5" t="str">
        <f ca="1">IFERROR(__xludf.DUMMYFUNCTION("""COMPUTED_VALUE""")," +27 0766387130")</f>
        <v xml:space="preserve"> +27 0766387130</v>
      </c>
      <c r="E20" s="5" t="str">
        <f ca="1">IFERROR(__xludf.DUMMYFUNCTION("""COMPUTED_VALUE"""),"Swazi")</f>
        <v>Swazi</v>
      </c>
      <c r="F20" s="5" t="str">
        <f ca="1">IFERROR(__xludf.DUMMYFUNCTION("""COMPUTED_VALUE"""),"Painting")</f>
        <v>Painting</v>
      </c>
      <c r="G20" s="5" t="str">
        <f ca="1">IFERROR(__xludf.DUMMYFUNCTION("""COMPUTED_VALUE"""),"Coal lab, Semplewa coal, Preparing coal, Waterproofing")</f>
        <v>Coal lab, Semplewa coal, Preparing coal, Waterproofing</v>
      </c>
    </row>
    <row r="21" spans="1:7" ht="22.5" customHeight="1" x14ac:dyDescent="0.2">
      <c r="A21" s="5" t="str">
        <f ca="1">IFERROR(__xludf.DUMMYFUNCTION("""COMPUTED_VALUE"""),"Simon Mohlala")</f>
        <v>Simon Mohlala</v>
      </c>
      <c r="B21" s="5">
        <f ca="1">IFERROR(__xludf.DUMMYFUNCTION("""COMPUTED_VALUE"""),38)</f>
        <v>38</v>
      </c>
      <c r="C21" s="5" t="str">
        <f ca="1">IFERROR(__xludf.DUMMYFUNCTION("""COMPUTED_VALUE"""),"Male")</f>
        <v>Male</v>
      </c>
      <c r="D21" s="5" t="str">
        <f ca="1">IFERROR(__xludf.DUMMYFUNCTION("""COMPUTED_VALUE""")," +27 0761431751")</f>
        <v xml:space="preserve"> +27 0761431751</v>
      </c>
      <c r="E21" s="5" t="str">
        <f ca="1">IFERROR(__xludf.DUMMYFUNCTION("""COMPUTED_VALUE"""),"North Sephedi")</f>
        <v>North Sephedi</v>
      </c>
      <c r="F21" s="5" t="str">
        <f ca="1">IFERROR(__xludf.DUMMYFUNCTION("""COMPUTED_VALUE"""),"Painting")</f>
        <v>Painting</v>
      </c>
      <c r="G21" s="5" t="str">
        <f ca="1">IFERROR(__xludf.DUMMYFUNCTION("""COMPUTED_VALUE"""),"Ride a horse. I worked 9 years on the farm and can do Farm Work.")</f>
        <v>Ride a horse. I worked 9 years on the farm and can do Farm Work.</v>
      </c>
    </row>
    <row r="22" spans="1:7" ht="22.5" customHeight="1" x14ac:dyDescent="0.2">
      <c r="A22" s="5" t="str">
        <f ca="1">IFERROR(__xludf.DUMMYFUNCTION("""COMPUTED_VALUE"""),"Simphiwie")</f>
        <v>Simphiwie</v>
      </c>
      <c r="B22" s="5">
        <f ca="1">IFERROR(__xludf.DUMMYFUNCTION("""COMPUTED_VALUE"""),40)</f>
        <v>40</v>
      </c>
      <c r="C22" s="5" t="str">
        <f ca="1">IFERROR(__xludf.DUMMYFUNCTION("""COMPUTED_VALUE"""),"Male")</f>
        <v>Male</v>
      </c>
      <c r="D22" s="5" t="str">
        <f ca="1">IFERROR(__xludf.DUMMYFUNCTION("""COMPUTED_VALUE""")," +27 0792442973")</f>
        <v xml:space="preserve"> +27 0792442973</v>
      </c>
      <c r="E22" s="5" t="str">
        <f ca="1">IFERROR(__xludf.DUMMYFUNCTION("""COMPUTED_VALUE"""),"English, Afrikaans")</f>
        <v>English, Afrikaans</v>
      </c>
      <c r="F22" s="5" t="str">
        <f ca="1">IFERROR(__xludf.DUMMYFUNCTION("""COMPUTED_VALUE"""),"Painter")</f>
        <v>Painter</v>
      </c>
      <c r="G22" s="5" t="str">
        <f ca="1">IFERROR(__xludf.DUMMYFUNCTION("""COMPUTED_VALUE"""),"None")</f>
        <v>None</v>
      </c>
    </row>
    <row r="23" spans="1:7" ht="22.5" customHeight="1" x14ac:dyDescent="0.2">
      <c r="A23" s="5" t="str">
        <f ca="1">IFERROR(__xludf.DUMMYFUNCTION("""COMPUTED_VALUE"""),"Thomas")</f>
        <v>Thomas</v>
      </c>
      <c r="B23" s="5">
        <f ca="1">IFERROR(__xludf.DUMMYFUNCTION("""COMPUTED_VALUE"""),49)</f>
        <v>49</v>
      </c>
      <c r="C23" s="5" t="str">
        <f ca="1">IFERROR(__xludf.DUMMYFUNCTION("""COMPUTED_VALUE"""),"Male")</f>
        <v>Male</v>
      </c>
      <c r="D23" s="5" t="str">
        <f ca="1">IFERROR(__xludf.DUMMYFUNCTION("""COMPUTED_VALUE""")," +27 0649964270")</f>
        <v xml:space="preserve"> +27 0649964270</v>
      </c>
      <c r="E23" s="5" t="str">
        <f ca="1">IFERROR(__xludf.DUMMYFUNCTION("""COMPUTED_VALUE"""),"English")</f>
        <v>English</v>
      </c>
      <c r="F23" s="5" t="str">
        <f ca="1">IFERROR(__xludf.DUMMYFUNCTION("""COMPUTED_VALUE"""),"Painting")</f>
        <v>Painting</v>
      </c>
      <c r="G23" s="5" t="str">
        <f ca="1">IFERROR(__xludf.DUMMYFUNCTION("""COMPUTED_VALUE"""),"Mine safety, Officer")</f>
        <v>Mine safety, Officer</v>
      </c>
    </row>
    <row r="24" spans="1:7" ht="12.75" x14ac:dyDescent="0.2">
      <c r="A24" s="1"/>
      <c r="B24" s="1"/>
      <c r="C24" s="1"/>
      <c r="D24" s="1"/>
      <c r="E24" s="1"/>
      <c r="F24" s="1"/>
      <c r="G24" s="1"/>
    </row>
    <row r="25" spans="1:7" ht="25.5" x14ac:dyDescent="0.35">
      <c r="D25" s="6" t="s">
        <v>8</v>
      </c>
    </row>
    <row r="26" spans="1:7" ht="22.5" customHeight="1" x14ac:dyDescent="0.2">
      <c r="A26" s="4" t="s">
        <v>1</v>
      </c>
      <c r="B26" s="4" t="s">
        <v>2</v>
      </c>
      <c r="C26" s="4" t="s">
        <v>3</v>
      </c>
      <c r="D26" s="4" t="s">
        <v>4</v>
      </c>
      <c r="E26" s="4" t="s">
        <v>5</v>
      </c>
      <c r="F26" s="4" t="s">
        <v>6</v>
      </c>
      <c r="G26" s="4" t="s">
        <v>7</v>
      </c>
    </row>
    <row r="27" spans="1:7" ht="22.5" customHeight="1" x14ac:dyDescent="0.2">
      <c r="A27" s="5" t="str">
        <f ca="1">IFERROR(__xludf.DUMMYFUNCTION("QUERY(FullTable!A1:G60, ""SELECT * WHERE F contains 'Electric' OR G contains 'Electric'"", 0)"),"Albert Tsima")</f>
        <v>Albert Tsima</v>
      </c>
      <c r="B27" s="5">
        <f ca="1">IFERROR(__xludf.DUMMYFUNCTION("""COMPUTED_VALUE"""),44)</f>
        <v>44</v>
      </c>
      <c r="C27" s="5" t="str">
        <f ca="1">IFERROR(__xludf.DUMMYFUNCTION("""COMPUTED_VALUE"""),"Male")</f>
        <v>Male</v>
      </c>
      <c r="D27" s="5" t="str">
        <f ca="1">IFERROR(__xludf.DUMMYFUNCTION("""COMPUTED_VALUE""")," +27 0661300152")</f>
        <v xml:space="preserve"> +27 0661300152</v>
      </c>
      <c r="E27" s="5" t="str">
        <f ca="1">IFERROR(__xludf.DUMMYFUNCTION("""COMPUTED_VALUE"""),"English")</f>
        <v>English</v>
      </c>
      <c r="F27" s="5" t="str">
        <f ca="1">IFERROR(__xludf.DUMMYFUNCTION("""COMPUTED_VALUE"""),"Electrician")</f>
        <v>Electrician</v>
      </c>
      <c r="G27" s="5" t="str">
        <f ca="1">IFERROR(__xludf.DUMMYFUNCTION("""COMPUTED_VALUE"""),"Painting, 14 years")</f>
        <v>Painting, 14 years</v>
      </c>
    </row>
    <row r="28" spans="1:7" ht="22.5" customHeight="1" x14ac:dyDescent="0.2">
      <c r="A28" s="5" t="str">
        <f ca="1">IFERROR(__xludf.DUMMYFUNCTION("""COMPUTED_VALUE"""),"Eliah Kodi")</f>
        <v>Eliah Kodi</v>
      </c>
      <c r="B28" s="5">
        <f ca="1">IFERROR(__xludf.DUMMYFUNCTION("""COMPUTED_VALUE"""),28)</f>
        <v>28</v>
      </c>
      <c r="C28" s="5" t="str">
        <f ca="1">IFERROR(__xludf.DUMMYFUNCTION("""COMPUTED_VALUE"""),"Male")</f>
        <v>Male</v>
      </c>
      <c r="D28" s="5" t="str">
        <f ca="1">IFERROR(__xludf.DUMMYFUNCTION("""COMPUTED_VALUE""")," +27 0791140622")</f>
        <v xml:space="preserve"> +27 0791140622</v>
      </c>
      <c r="E28" s="5" t="str">
        <f ca="1">IFERROR(__xludf.DUMMYFUNCTION("""COMPUTED_VALUE"""),"North Sotho")</f>
        <v>North Sotho</v>
      </c>
      <c r="F28" s="5" t="str">
        <f ca="1">IFERROR(__xludf.DUMMYFUNCTION("""COMPUTED_VALUE"""),"Electrical")</f>
        <v>Electrical</v>
      </c>
      <c r="G28" s="5" t="str">
        <f ca="1">IFERROR(__xludf.DUMMYFUNCTION("""COMPUTED_VALUE"""),"Painting. I am Critical thinking and problem solver")</f>
        <v>Painting. I am Critical thinking and problem solver</v>
      </c>
    </row>
    <row r="29" spans="1:7" ht="22.5" customHeight="1" x14ac:dyDescent="0.2">
      <c r="A29" s="5" t="str">
        <f ca="1">IFERROR(__xludf.DUMMYFUNCTION("""COMPUTED_VALUE"""),"Ernest Matgibe")</f>
        <v>Ernest Matgibe</v>
      </c>
      <c r="B29" s="5">
        <f ca="1">IFERROR(__xludf.DUMMYFUNCTION("""COMPUTED_VALUE"""),48)</f>
        <v>48</v>
      </c>
      <c r="C29" s="5" t="str">
        <f ca="1">IFERROR(__xludf.DUMMYFUNCTION("""COMPUTED_VALUE"""),"Male")</f>
        <v>Male</v>
      </c>
      <c r="D29" s="5" t="str">
        <f ca="1">IFERROR(__xludf.DUMMYFUNCTION("""COMPUTED_VALUE""")," +27 0793638493")</f>
        <v xml:space="preserve"> +27 0793638493</v>
      </c>
      <c r="E29" s="5" t="str">
        <f ca="1">IFERROR(__xludf.DUMMYFUNCTION("""COMPUTED_VALUE"""),"Afrikaans, North Sotho, North Sepedi")</f>
        <v>Afrikaans, North Sotho, North Sepedi</v>
      </c>
      <c r="F29" s="5" t="str">
        <f ca="1">IFERROR(__xludf.DUMMYFUNCTION("""COMPUTED_VALUE"""),"Electric fence")</f>
        <v>Electric fence</v>
      </c>
      <c r="G29" s="5" t="str">
        <f ca="1">IFERROR(__xludf.DUMMYFUNCTION("""COMPUTED_VALUE"""),"Game gauging, Game fencing, Install, Installation, Maintenance, Drivers Licence Code 10 , L1")</f>
        <v>Game gauging, Game fencing, Install, Installation, Maintenance, Drivers Licence Code 10 , L1</v>
      </c>
    </row>
    <row r="30" spans="1:7" ht="22.5" customHeight="1" x14ac:dyDescent="0.2">
      <c r="A30" s="5" t="str">
        <f ca="1">IFERROR(__xludf.DUMMYFUNCTION("""COMPUTED_VALUE"""),"Samy Malaka")</f>
        <v>Samy Malaka</v>
      </c>
      <c r="B30" s="5">
        <f ca="1">IFERROR(__xludf.DUMMYFUNCTION("""COMPUTED_VALUE"""),33)</f>
        <v>33</v>
      </c>
      <c r="C30" s="5" t="str">
        <f ca="1">IFERROR(__xludf.DUMMYFUNCTION("""COMPUTED_VALUE"""),"Male")</f>
        <v>Male</v>
      </c>
      <c r="D30" s="5" t="str">
        <f ca="1">IFERROR(__xludf.DUMMYFUNCTION("""COMPUTED_VALUE""")," +27 0713684972")</f>
        <v xml:space="preserve"> +27 0713684972</v>
      </c>
      <c r="E30" s="5" t="str">
        <f ca="1">IFERROR(__xludf.DUMMYFUNCTION("""COMPUTED_VALUE"""),"North Sepedi, English")</f>
        <v>North Sepedi, English</v>
      </c>
      <c r="F30" s="5" t="str">
        <f ca="1">IFERROR(__xludf.DUMMYFUNCTION("""COMPUTED_VALUE"""),"Auto-Electrical ")</f>
        <v xml:space="preserve">Auto-Electrical </v>
      </c>
      <c r="G30" s="5" t="str">
        <f ca="1">IFERROR(__xludf.DUMMYFUNCTION("""COMPUTED_VALUE"""),"Semi-Skill, Volunteering, Candidate in Auto-Electrical Field. I work for auto-electrical skill")</f>
        <v>Semi-Skill, Volunteering, Candidate in Auto-Electrical Field. I work for auto-electrical skill</v>
      </c>
    </row>
    <row r="31" spans="1:7" ht="22.5" customHeight="1" x14ac:dyDescent="0.2">
      <c r="A31" s="5" t="s">
        <v>260</v>
      </c>
      <c r="B31" s="5">
        <v>41</v>
      </c>
      <c r="C31" s="5" t="s">
        <v>21</v>
      </c>
      <c r="D31" s="22" t="s">
        <v>261</v>
      </c>
      <c r="E31" s="5" t="s">
        <v>265</v>
      </c>
      <c r="F31" s="5" t="s">
        <v>24</v>
      </c>
      <c r="G31" s="5" t="s">
        <v>266</v>
      </c>
    </row>
    <row r="32" spans="1:7" ht="22.5" customHeight="1" x14ac:dyDescent="0.2">
      <c r="A32" s="5" t="str">
        <f ca="1">IFERROR(__xludf.DUMMYFUNCTION("""COMPUTED_VALUE"""),"Vusi Mtsweni")</f>
        <v>Vusi Mtsweni</v>
      </c>
      <c r="B32" s="5">
        <f ca="1">IFERROR(__xludf.DUMMYFUNCTION("""COMPUTED_VALUE"""),28)</f>
        <v>28</v>
      </c>
      <c r="C32" s="5" t="str">
        <f ca="1">IFERROR(__xludf.DUMMYFUNCTION("""COMPUTED_VALUE"""),"Male")</f>
        <v>Male</v>
      </c>
      <c r="D32" s="5" t="str">
        <f ca="1">IFERROR(__xludf.DUMMYFUNCTION("""COMPUTED_VALUE""")," +27 0609525644")</f>
        <v xml:space="preserve"> +27 0609525644</v>
      </c>
      <c r="E32" s="5" t="str">
        <f ca="1">IFERROR(__xludf.DUMMYFUNCTION("""COMPUTED_VALUE"""),"English, Zulu")</f>
        <v>English, Zulu</v>
      </c>
      <c r="F32" s="5" t="str">
        <f ca="1">IFERROR(__xludf.DUMMYFUNCTION("""COMPUTED_VALUE"""),"Electrical")</f>
        <v>Electrical</v>
      </c>
      <c r="G32" s="5" t="str">
        <f ca="1">IFERROR(__xludf.DUMMYFUNCTION("""COMPUTED_VALUE"""),"Plaster Brick Electrical, All jobs that need hand I can do, Very neat and presentable with a respectful attitude")</f>
        <v>Plaster Brick Electrical, All jobs that need hand I can do, Very neat and presentable with a respectful attitude</v>
      </c>
    </row>
    <row r="34" spans="1:7" ht="25.5" x14ac:dyDescent="0.35">
      <c r="D34" s="7" t="s">
        <v>9</v>
      </c>
    </row>
    <row r="35" spans="1:7" ht="22.5" customHeight="1" x14ac:dyDescent="0.2">
      <c r="A35" s="4" t="s">
        <v>1</v>
      </c>
      <c r="B35" s="4" t="s">
        <v>2</v>
      </c>
      <c r="C35" s="4" t="s">
        <v>3</v>
      </c>
      <c r="D35" s="4" t="s">
        <v>4</v>
      </c>
      <c r="E35" s="4" t="s">
        <v>5</v>
      </c>
      <c r="F35" s="4" t="s">
        <v>6</v>
      </c>
      <c r="G35" s="4" t="s">
        <v>7</v>
      </c>
    </row>
    <row r="36" spans="1:7" ht="22.5" customHeight="1" x14ac:dyDescent="0.2">
      <c r="A36" s="4" t="s">
        <v>236</v>
      </c>
      <c r="B36" s="23">
        <v>53</v>
      </c>
      <c r="C36" s="4" t="s">
        <v>21</v>
      </c>
      <c r="D36" s="24" t="s">
        <v>237</v>
      </c>
      <c r="E36" s="4" t="s">
        <v>38</v>
      </c>
      <c r="F36" s="4" t="s">
        <v>9</v>
      </c>
      <c r="G36" s="4" t="s">
        <v>0</v>
      </c>
    </row>
    <row r="37" spans="1:7" ht="22.5" customHeight="1" x14ac:dyDescent="0.2">
      <c r="A37" s="5" t="str">
        <f ca="1">IFERROR(__xludf.DUMMYFUNCTION("QUERY(FullTable!A1:G60, ""SELECT * WHERE F contains 'Security' OR G contains 'Security'"", 0)"),"Aubmery Mnuisi")</f>
        <v>Aubmery Mnuisi</v>
      </c>
      <c r="B37" s="5">
        <f ca="1">IFERROR(__xludf.DUMMYFUNCTION("""COMPUTED_VALUE"""),47)</f>
        <v>47</v>
      </c>
      <c r="C37" s="5" t="str">
        <f ca="1">IFERROR(__xludf.DUMMYFUNCTION("""COMPUTED_VALUE"""),"Male")</f>
        <v>Male</v>
      </c>
      <c r="D37" s="5" t="str">
        <f ca="1">IFERROR(__xludf.DUMMYFUNCTION("""COMPUTED_VALUE""")," +27 0720439678/0822007864")</f>
        <v xml:space="preserve"> +27 0720439678/0822007864</v>
      </c>
      <c r="E37" s="5" t="str">
        <f ca="1">IFERROR(__xludf.DUMMYFUNCTION("""COMPUTED_VALUE"""),"Zulu, English")</f>
        <v>Zulu, English</v>
      </c>
      <c r="F37" s="5" t="str">
        <f ca="1">IFERROR(__xludf.DUMMYFUNCTION("""COMPUTED_VALUE"""),"Security Officer")</f>
        <v>Security Officer</v>
      </c>
      <c r="G37" s="5" t="str">
        <f ca="1">IFERROR(__xludf.DUMMYFUNCTION("""COMPUTED_VALUE"""),"Driver License, GB, C1 ed PD")</f>
        <v>Driver License, GB, C1 ed PD</v>
      </c>
    </row>
    <row r="38" spans="1:7" ht="22.5" customHeight="1" x14ac:dyDescent="0.2">
      <c r="A38" s="5" t="str">
        <f ca="1">IFERROR(__xludf.DUMMYFUNCTION("""COMPUTED_VALUE"""),"Bheki Benedict Ndimanda")</f>
        <v>Bheki Benedict Ndimanda</v>
      </c>
      <c r="B38" s="5">
        <f ca="1">IFERROR(__xludf.DUMMYFUNCTION("""COMPUTED_VALUE"""),41)</f>
        <v>41</v>
      </c>
      <c r="C38" s="5" t="str">
        <f ca="1">IFERROR(__xludf.DUMMYFUNCTION("""COMPUTED_VALUE"""),"Male")</f>
        <v>Male</v>
      </c>
      <c r="D38" s="5" t="str">
        <f ca="1">IFERROR(__xludf.DUMMYFUNCTION("""COMPUTED_VALUE""")," +27 0799982855")</f>
        <v xml:space="preserve"> +27 0799982855</v>
      </c>
      <c r="E38" s="5" t="str">
        <f ca="1">IFERROR(__xludf.DUMMYFUNCTION("""COMPUTED_VALUE"""),"Zulu")</f>
        <v>Zulu</v>
      </c>
      <c r="F38" s="5" t="str">
        <f ca="1">IFERROR(__xludf.DUMMYFUNCTION("""COMPUTED_VALUE"""),"Security Officer")</f>
        <v>Security Officer</v>
      </c>
      <c r="G38" s="5" t="str">
        <f ca="1">IFERROR(__xludf.DUMMYFUNCTION("""COMPUTED_VALUE"""),"Grade A CIT handgun competence, Assistant Mechanic for more than 8 years")</f>
        <v>Grade A CIT handgun competence, Assistant Mechanic for more than 8 years</v>
      </c>
    </row>
    <row r="39" spans="1:7" ht="22.5" customHeight="1" x14ac:dyDescent="0.2">
      <c r="A39" s="5" t="s">
        <v>238</v>
      </c>
      <c r="B39" s="5">
        <v>29</v>
      </c>
      <c r="C39" s="5" t="s">
        <v>21</v>
      </c>
      <c r="D39" s="22" t="s">
        <v>239</v>
      </c>
      <c r="E39" s="5" t="s">
        <v>132</v>
      </c>
      <c r="F39" s="5" t="s">
        <v>9</v>
      </c>
      <c r="G39" s="5"/>
    </row>
    <row r="40" spans="1:7" ht="22.5" customHeight="1" x14ac:dyDescent="0.2">
      <c r="A40" s="5" t="str">
        <f ca="1">IFERROR(__xludf.DUMMYFUNCTION("""COMPUTED_VALUE"""),"Desmond Zamani Zulu")</f>
        <v>Desmond Zamani Zulu</v>
      </c>
      <c r="B40" s="5">
        <f ca="1">IFERROR(__xludf.DUMMYFUNCTION("""COMPUTED_VALUE"""),41)</f>
        <v>41</v>
      </c>
      <c r="C40" s="5" t="str">
        <f ca="1">IFERROR(__xludf.DUMMYFUNCTION("""COMPUTED_VALUE"""),"Male")</f>
        <v>Male</v>
      </c>
      <c r="D40" s="5" t="str">
        <f ca="1">IFERROR(__xludf.DUMMYFUNCTION("""COMPUTED_VALUE""")," +27 0836637663")</f>
        <v xml:space="preserve"> +27 0836637663</v>
      </c>
      <c r="E40" s="5" t="str">
        <f ca="1">IFERROR(__xludf.DUMMYFUNCTION("""COMPUTED_VALUE"""),"English, Zulu")</f>
        <v>English, Zulu</v>
      </c>
      <c r="F40" s="5" t="str">
        <f ca="1">IFERROR(__xludf.DUMMYFUNCTION("""COMPUTED_VALUE"""),"Security Officer")</f>
        <v>Security Officer</v>
      </c>
      <c r="G40" s="5" t="str">
        <f ca="1">IFERROR(__xludf.DUMMYFUNCTION("""COMPUTED_VALUE"""),"General work, Painting, Gardening, Ceiling, Reaction, Grade B, Driver licence, Competency for firearms")</f>
        <v>General work, Painting, Gardening, Ceiling, Reaction, Grade B, Driver licence, Competency for firearms</v>
      </c>
    </row>
    <row r="41" spans="1:7" ht="22.5" customHeight="1" x14ac:dyDescent="0.2">
      <c r="A41" s="5" t="str">
        <f ca="1">IFERROR(__xludf.DUMMYFUNCTION("""COMPUTED_VALUE"""),"Doleox Emmnnuel Mhlongo")</f>
        <v>Doleox Emmnnuel Mhlongo</v>
      </c>
      <c r="B41" s="5">
        <f ca="1">IFERROR(__xludf.DUMMYFUNCTION("""COMPUTED_VALUE"""),54)</f>
        <v>54</v>
      </c>
      <c r="C41" s="5" t="str">
        <f ca="1">IFERROR(__xludf.DUMMYFUNCTION("""COMPUTED_VALUE"""),"Male")</f>
        <v>Male</v>
      </c>
      <c r="D41" s="5" t="str">
        <f ca="1">IFERROR(__xludf.DUMMYFUNCTION("""COMPUTED_VALUE""")," +27 0769005437")</f>
        <v xml:space="preserve"> +27 0769005437</v>
      </c>
      <c r="E41" s="5" t="str">
        <f ca="1">IFERROR(__xludf.DUMMYFUNCTION("""COMPUTED_VALUE"""),"Zulu, English")</f>
        <v>Zulu, English</v>
      </c>
      <c r="F41" s="5" t="str">
        <f ca="1">IFERROR(__xludf.DUMMYFUNCTION("""COMPUTED_VALUE"""),"Security")</f>
        <v>Security</v>
      </c>
      <c r="G41" s="5" t="str">
        <f ca="1">IFERROR(__xludf.DUMMYFUNCTION("""COMPUTED_VALUE"""),"General")</f>
        <v>General</v>
      </c>
    </row>
    <row r="42" spans="1:7" ht="22.5" customHeight="1" x14ac:dyDescent="0.2">
      <c r="A42" s="5" t="s">
        <v>256</v>
      </c>
      <c r="B42" s="5">
        <v>52</v>
      </c>
      <c r="C42" s="5" t="s">
        <v>21</v>
      </c>
      <c r="D42" s="22" t="s">
        <v>253</v>
      </c>
      <c r="E42" s="5" t="s">
        <v>254</v>
      </c>
      <c r="F42" s="5" t="s">
        <v>34</v>
      </c>
      <c r="G42" s="5" t="s">
        <v>257</v>
      </c>
    </row>
    <row r="43" spans="1:7" ht="22.5" customHeight="1" x14ac:dyDescent="0.2">
      <c r="A43" s="5" t="str">
        <f ca="1">IFERROR(__xludf.DUMMYFUNCTION("""COMPUTED_VALUE"""),"Hamlet Thobela")</f>
        <v>Hamlet Thobela</v>
      </c>
      <c r="B43" s="5">
        <f ca="1">IFERROR(__xludf.DUMMYFUNCTION("""COMPUTED_VALUE"""),31)</f>
        <v>31</v>
      </c>
      <c r="C43" s="5" t="str">
        <f ca="1">IFERROR(__xludf.DUMMYFUNCTION("""COMPUTED_VALUE"""),"Male")</f>
        <v>Male</v>
      </c>
      <c r="D43" s="5" t="str">
        <f ca="1">IFERROR(__xludf.DUMMYFUNCTION("""COMPUTED_VALUE""")," +27 0648811490")</f>
        <v xml:space="preserve"> +27 0648811490</v>
      </c>
      <c r="E43" s="5" t="str">
        <f ca="1">IFERROR(__xludf.DUMMYFUNCTION("""COMPUTED_VALUE"""),"English, Zulu")</f>
        <v>English, Zulu</v>
      </c>
      <c r="F43" s="5" t="str">
        <f ca="1">IFERROR(__xludf.DUMMYFUNCTION("""COMPUTED_VALUE"""),"General work")</f>
        <v>General work</v>
      </c>
      <c r="G43" s="5" t="str">
        <f ca="1">IFERROR(__xludf.DUMMYFUNCTION("""COMPUTED_VALUE"""),"Security, General work")</f>
        <v>Security, General work</v>
      </c>
    </row>
    <row r="44" spans="1:7" ht="22.5" customHeight="1" x14ac:dyDescent="0.2">
      <c r="A44" s="5" t="str">
        <f ca="1">IFERROR(__xludf.DUMMYFUNCTION("""COMPUTED_VALUE"""),"Hridile Sigodi")</f>
        <v>Hridile Sigodi</v>
      </c>
      <c r="B44" s="5">
        <f ca="1">IFERROR(__xludf.DUMMYFUNCTION("""COMPUTED_VALUE"""),51)</f>
        <v>51</v>
      </c>
      <c r="C44" s="5" t="str">
        <f ca="1">IFERROR(__xludf.DUMMYFUNCTION("""COMPUTED_VALUE"""),"Male")</f>
        <v>Male</v>
      </c>
      <c r="D44" s="5" t="str">
        <f ca="1">IFERROR(__xludf.DUMMYFUNCTION("""COMPUTED_VALUE""")," +27 0661056256")</f>
        <v xml:space="preserve"> +27 0661056256</v>
      </c>
      <c r="E44" s="5" t="str">
        <f ca="1">IFERROR(__xludf.DUMMYFUNCTION("""COMPUTED_VALUE"""),"Xhosa")</f>
        <v>Xhosa</v>
      </c>
      <c r="F44" s="5" t="str">
        <f ca="1">IFERROR(__xludf.DUMMYFUNCTION("""COMPUTED_VALUE"""),"General")</f>
        <v>General</v>
      </c>
      <c r="G44" s="5" t="str">
        <f ca="1">IFERROR(__xludf.DUMMYFUNCTION("""COMPUTED_VALUE"""),"Security")</f>
        <v>Security</v>
      </c>
    </row>
    <row r="45" spans="1:7" ht="22.5" customHeight="1" x14ac:dyDescent="0.2">
      <c r="A45" s="5" t="str">
        <f ca="1">IFERROR(__xludf.DUMMYFUNCTION("""COMPUTED_VALUE"""),"Knowledge Mbuiza")</f>
        <v>Knowledge Mbuiza</v>
      </c>
      <c r="B45" s="5">
        <f ca="1">IFERROR(__xludf.DUMMYFUNCTION("""COMPUTED_VALUE"""),37)</f>
        <v>37</v>
      </c>
      <c r="C45" s="5" t="str">
        <f ca="1">IFERROR(__xludf.DUMMYFUNCTION("""COMPUTED_VALUE"""),"Male")</f>
        <v>Male</v>
      </c>
      <c r="D45" s="5" t="str">
        <f ca="1">IFERROR(__xludf.DUMMYFUNCTION("""COMPUTED_VALUE""")," +27 0825078010")</f>
        <v xml:space="preserve"> +27 0825078010</v>
      </c>
      <c r="E45" s="5" t="str">
        <f ca="1">IFERROR(__xludf.DUMMYFUNCTION("""COMPUTED_VALUE"""),"English, Zulu")</f>
        <v>English, Zulu</v>
      </c>
      <c r="F45" s="5" t="str">
        <f ca="1">IFERROR(__xludf.DUMMYFUNCTION("""COMPUTED_VALUE"""),"Security")</f>
        <v>Security</v>
      </c>
      <c r="G45" s="5" t="str">
        <f ca="1">IFERROR(__xludf.DUMMYFUNCTION("""COMPUTED_VALUE"""),"Forklift, Driver licence, Wood cutting")</f>
        <v>Forklift, Driver licence, Wood cutting</v>
      </c>
    </row>
    <row r="46" spans="1:7" ht="22.5" customHeight="1" x14ac:dyDescent="0.2">
      <c r="A46" s="5" t="str">
        <f ca="1">IFERROR(__xludf.DUMMYFUNCTION("""COMPUTED_VALUE"""),"Madike Mieieel")</f>
        <v>Madike Mieieel</v>
      </c>
      <c r="B46" s="5">
        <f ca="1">IFERROR(__xludf.DUMMYFUNCTION("""COMPUTED_VALUE"""),40)</f>
        <v>40</v>
      </c>
      <c r="C46" s="5" t="str">
        <f ca="1">IFERROR(__xludf.DUMMYFUNCTION("""COMPUTED_VALUE"""),"Male")</f>
        <v>Male</v>
      </c>
      <c r="D46" s="5" t="str">
        <f ca="1">IFERROR(__xludf.DUMMYFUNCTION("""COMPUTED_VALUE""")," +27 0668218395")</f>
        <v xml:space="preserve"> +27 0668218395</v>
      </c>
      <c r="E46" s="5" t="str">
        <f ca="1">IFERROR(__xludf.DUMMYFUNCTION("""COMPUTED_VALUE"""),"Sepedi")</f>
        <v>Sepedi</v>
      </c>
      <c r="F46" s="5" t="str">
        <f ca="1">IFERROR(__xludf.DUMMYFUNCTION("""COMPUTED_VALUE"""),"Security")</f>
        <v>Security</v>
      </c>
      <c r="G46" s="5" t="str">
        <f ca="1">IFERROR(__xludf.DUMMYFUNCTION("""COMPUTED_VALUE"""),"None")</f>
        <v>None</v>
      </c>
    </row>
    <row r="47" spans="1:7" ht="22.5" customHeight="1" x14ac:dyDescent="0.2">
      <c r="A47" s="5" t="str">
        <f ca="1">IFERROR(__xludf.DUMMYFUNCTION("""COMPUTED_VALUE"""),"Mehsemela Godfrey")</f>
        <v>Mehsemela Godfrey</v>
      </c>
      <c r="B47" s="5">
        <f ca="1">IFERROR(__xludf.DUMMYFUNCTION("""COMPUTED_VALUE"""),48)</f>
        <v>48</v>
      </c>
      <c r="C47" s="5" t="str">
        <f ca="1">IFERROR(__xludf.DUMMYFUNCTION("""COMPUTED_VALUE"""),"Male")</f>
        <v>Male</v>
      </c>
      <c r="D47" s="5" t="str">
        <f ca="1">IFERROR(__xludf.DUMMYFUNCTION("""COMPUTED_VALUE""")," +27 0822690481")</f>
        <v xml:space="preserve"> +27 0822690481</v>
      </c>
      <c r="E47" s="5" t="str">
        <f ca="1">IFERROR(__xludf.DUMMYFUNCTION("""COMPUTED_VALUE"""),"North Sotho")</f>
        <v>North Sotho</v>
      </c>
      <c r="F47" s="5" t="str">
        <f ca="1">IFERROR(__xludf.DUMMYFUNCTION("""COMPUTED_VALUE"""),"Security")</f>
        <v>Security</v>
      </c>
      <c r="G47" s="5" t="str">
        <f ca="1">IFERROR(__xludf.DUMMYFUNCTION("""COMPUTED_VALUE"""),"None")</f>
        <v>None</v>
      </c>
    </row>
    <row r="48" spans="1:7" ht="22.5" customHeight="1" x14ac:dyDescent="0.2">
      <c r="A48" s="5" t="str">
        <f ca="1">IFERROR(__xludf.DUMMYFUNCTION("""COMPUTED_VALUE"""),"Xolani Magagula")</f>
        <v>Xolani Magagula</v>
      </c>
      <c r="B48" s="5">
        <f ca="1">IFERROR(__xludf.DUMMYFUNCTION("""COMPUTED_VALUE"""),36)</f>
        <v>36</v>
      </c>
      <c r="C48" s="5" t="str">
        <f ca="1">IFERROR(__xludf.DUMMYFUNCTION("""COMPUTED_VALUE"""),"Male")</f>
        <v>Male</v>
      </c>
      <c r="D48" s="5" t="str">
        <f ca="1">IFERROR(__xludf.DUMMYFUNCTION("""COMPUTED_VALUE""")," +27 0647771352")</f>
        <v xml:space="preserve"> +27 0647771352</v>
      </c>
      <c r="E48" s="5" t="str">
        <f ca="1">IFERROR(__xludf.DUMMYFUNCTION("""COMPUTED_VALUE"""),"Siswati, English")</f>
        <v>Siswati, English</v>
      </c>
      <c r="F48" s="5" t="str">
        <f ca="1">IFERROR(__xludf.DUMMYFUNCTION("""COMPUTED_VALUE"""),"Security Officer")</f>
        <v>Security Officer</v>
      </c>
      <c r="G48" s="5" t="str">
        <f ca="1">IFERROR(__xludf.DUMMYFUNCTION("""COMPUTED_VALUE"""),"None")</f>
        <v>None</v>
      </c>
    </row>
    <row r="50" spans="1:7" ht="25.5" x14ac:dyDescent="0.35">
      <c r="D50" s="8" t="s">
        <v>10</v>
      </c>
    </row>
    <row r="51" spans="1:7" ht="22.5" customHeight="1" x14ac:dyDescent="0.2">
      <c r="A51" s="4" t="s">
        <v>1</v>
      </c>
      <c r="B51" s="4" t="s">
        <v>2</v>
      </c>
      <c r="C51" s="4" t="s">
        <v>3</v>
      </c>
      <c r="D51" s="4" t="s">
        <v>4</v>
      </c>
      <c r="E51" s="4" t="s">
        <v>5</v>
      </c>
      <c r="F51" s="4" t="s">
        <v>6</v>
      </c>
      <c r="G51" s="4" t="s">
        <v>7</v>
      </c>
    </row>
    <row r="52" spans="1:7" ht="22.5" customHeight="1" x14ac:dyDescent="0.2">
      <c r="A52" s="4" t="s">
        <v>267</v>
      </c>
      <c r="B52" s="4">
        <v>43</v>
      </c>
      <c r="C52" s="4" t="s">
        <v>21</v>
      </c>
      <c r="D52" s="23" t="s">
        <v>268</v>
      </c>
      <c r="E52" s="4" t="s">
        <v>38</v>
      </c>
      <c r="F52" s="4" t="s">
        <v>55</v>
      </c>
      <c r="G52" s="4"/>
    </row>
    <row r="53" spans="1:7" ht="22.5" customHeight="1" x14ac:dyDescent="0.2">
      <c r="A53" s="5" t="str">
        <f ca="1">IFERROR(__xludf.DUMMYFUNCTION("QUERY(FullTable!A1:G44, ""SELECT * WHERE F contains 'General' OR G contains 'General'"", 0)"),"Bulelani Mnguni")</f>
        <v>Bulelani Mnguni</v>
      </c>
      <c r="B53" s="5">
        <f ca="1">IFERROR(__xludf.DUMMYFUNCTION("""COMPUTED_VALUE"""),37)</f>
        <v>37</v>
      </c>
      <c r="C53" s="5" t="str">
        <f ca="1">IFERROR(__xludf.DUMMYFUNCTION("""COMPUTED_VALUE"""),"Male")</f>
        <v>Male</v>
      </c>
      <c r="D53" s="5" t="str">
        <f ca="1">IFERROR(__xludf.DUMMYFUNCTION("""COMPUTED_VALUE""")," +27 0792671473")</f>
        <v xml:space="preserve"> +27 0792671473</v>
      </c>
      <c r="E53" s="5" t="str">
        <f ca="1">IFERROR(__xludf.DUMMYFUNCTION("""COMPUTED_VALUE"""),"English")</f>
        <v>English</v>
      </c>
      <c r="F53" s="5" t="str">
        <f ca="1">IFERROR(__xludf.DUMMYFUNCTION("""COMPUTED_VALUE"""),"General Work ")</f>
        <v xml:space="preserve">General Work </v>
      </c>
      <c r="G53" s="5" t="str">
        <f ca="1">IFERROR(__xludf.DUMMYFUNCTION("""COMPUTED_VALUE"""),"Plumbing")</f>
        <v>Plumbing</v>
      </c>
    </row>
    <row r="54" spans="1:7" ht="22.5" customHeight="1" x14ac:dyDescent="0.2">
      <c r="A54" s="5" t="str">
        <f ca="1">IFERROR(__xludf.DUMMYFUNCTION("""COMPUTED_VALUE"""),"Dennies Phahlana")</f>
        <v>Dennies Phahlana</v>
      </c>
      <c r="B54" s="5">
        <f ca="1">IFERROR(__xludf.DUMMYFUNCTION("""COMPUTED_VALUE"""),45)</f>
        <v>45</v>
      </c>
      <c r="C54" s="5" t="str">
        <f ca="1">IFERROR(__xludf.DUMMYFUNCTION("""COMPUTED_VALUE"""),"Male")</f>
        <v>Male</v>
      </c>
      <c r="D54" s="5" t="str">
        <f ca="1">IFERROR(__xludf.DUMMYFUNCTION("""COMPUTED_VALUE""")," +27 0763885014/0661056256")</f>
        <v xml:space="preserve"> +27 0763885014/0661056256</v>
      </c>
      <c r="E54" s="5" t="str">
        <f ca="1">IFERROR(__xludf.DUMMYFUNCTION("""COMPUTED_VALUE"""),"North Sepedi")</f>
        <v>North Sepedi</v>
      </c>
      <c r="F54" s="5" t="str">
        <f ca="1">IFERROR(__xludf.DUMMYFUNCTION("""COMPUTED_VALUE"""),"Painting")</f>
        <v>Painting</v>
      </c>
      <c r="G54" s="5" t="str">
        <f ca="1">IFERROR(__xludf.DUMMYFUNCTION("""COMPUTED_VALUE"""),"General Worker")</f>
        <v>General Worker</v>
      </c>
    </row>
    <row r="55" spans="1:7" ht="22.5" customHeight="1" x14ac:dyDescent="0.2">
      <c r="A55" s="5" t="str">
        <f ca="1">IFERROR(__xludf.DUMMYFUNCTION("""COMPUTED_VALUE"""),"Desmond Zamani Zulu")</f>
        <v>Desmond Zamani Zulu</v>
      </c>
      <c r="B55" s="5">
        <f ca="1">IFERROR(__xludf.DUMMYFUNCTION("""COMPUTED_VALUE"""),41)</f>
        <v>41</v>
      </c>
      <c r="C55" s="5" t="str">
        <f ca="1">IFERROR(__xludf.DUMMYFUNCTION("""COMPUTED_VALUE"""),"Male")</f>
        <v>Male</v>
      </c>
      <c r="D55" s="5" t="str">
        <f ca="1">IFERROR(__xludf.DUMMYFUNCTION("""COMPUTED_VALUE""")," +27 0836637663")</f>
        <v xml:space="preserve"> +27 0836637663</v>
      </c>
      <c r="E55" s="5" t="str">
        <f ca="1">IFERROR(__xludf.DUMMYFUNCTION("""COMPUTED_VALUE"""),"English, Zulu")</f>
        <v>English, Zulu</v>
      </c>
      <c r="F55" s="5" t="str">
        <f ca="1">IFERROR(__xludf.DUMMYFUNCTION("""COMPUTED_VALUE"""),"Security Officer")</f>
        <v>Security Officer</v>
      </c>
      <c r="G55" s="5" t="str">
        <f ca="1">IFERROR(__xludf.DUMMYFUNCTION("""COMPUTED_VALUE"""),"General work, Painting, Gardening, Ceiling, Grade B, Driver licence, Competency for firearms")</f>
        <v>General work, Painting, Gardening, Ceiling, Grade B, Driver licence, Competency for firearms</v>
      </c>
    </row>
    <row r="56" spans="1:7" ht="22.5" customHeight="1" x14ac:dyDescent="0.2">
      <c r="A56" s="5" t="str">
        <f ca="1">IFERROR(__xludf.DUMMYFUNCTION("""COMPUTED_VALUE"""),"Doleox Emmnnuel Mhlongo")</f>
        <v>Doleox Emmnnuel Mhlongo</v>
      </c>
      <c r="B56" s="5">
        <f ca="1">IFERROR(__xludf.DUMMYFUNCTION("""COMPUTED_VALUE"""),54)</f>
        <v>54</v>
      </c>
      <c r="C56" s="5" t="str">
        <f ca="1">IFERROR(__xludf.DUMMYFUNCTION("""COMPUTED_VALUE"""),"Male")</f>
        <v>Male</v>
      </c>
      <c r="D56" s="5" t="str">
        <f ca="1">IFERROR(__xludf.DUMMYFUNCTION("""COMPUTED_VALUE""")," +27 0769005437")</f>
        <v xml:space="preserve"> +27 0769005437</v>
      </c>
      <c r="E56" s="5" t="str">
        <f ca="1">IFERROR(__xludf.DUMMYFUNCTION("""COMPUTED_VALUE"""),"Zulu, English")</f>
        <v>Zulu, English</v>
      </c>
      <c r="F56" s="5" t="str">
        <f ca="1">IFERROR(__xludf.DUMMYFUNCTION("""COMPUTED_VALUE"""),"Security")</f>
        <v>Security</v>
      </c>
      <c r="G56" s="5" t="str">
        <f ca="1">IFERROR(__xludf.DUMMYFUNCTION("""COMPUTED_VALUE"""),"General")</f>
        <v>General</v>
      </c>
    </row>
    <row r="57" spans="1:7" ht="22.5" customHeight="1" x14ac:dyDescent="0.2">
      <c r="A57" s="5" t="s">
        <v>244</v>
      </c>
      <c r="B57" s="5">
        <v>23</v>
      </c>
      <c r="C57" s="5" t="s">
        <v>21</v>
      </c>
      <c r="D57" s="22" t="s">
        <v>245</v>
      </c>
      <c r="E57" s="5" t="s">
        <v>38</v>
      </c>
      <c r="F57" s="5" t="s">
        <v>241</v>
      </c>
      <c r="G57" s="5"/>
    </row>
    <row r="58" spans="1:7" ht="22.5" customHeight="1" x14ac:dyDescent="0.2">
      <c r="A58" s="5" t="str">
        <f ca="1">IFERROR(__xludf.DUMMYFUNCTION("""COMPUTED_VALUE"""),"Fanny")</f>
        <v>Fanny</v>
      </c>
      <c r="B58" s="5">
        <f ca="1">IFERROR(__xludf.DUMMYFUNCTION("""COMPUTED_VALUE"""),52)</f>
        <v>52</v>
      </c>
      <c r="C58" s="5" t="str">
        <f ca="1">IFERROR(__xludf.DUMMYFUNCTION("""COMPUTED_VALUE"""),"Male")</f>
        <v>Male</v>
      </c>
      <c r="D58" s="5" t="str">
        <f ca="1">IFERROR(__xludf.DUMMYFUNCTION("""COMPUTED_VALUE""")," +27 0763885014")</f>
        <v xml:space="preserve"> +27 0763885014</v>
      </c>
      <c r="E58" s="5" t="str">
        <f ca="1">IFERROR(__xludf.DUMMYFUNCTION("""COMPUTED_VALUE"""),"Ndebele, Afrikaans, English")</f>
        <v>Ndebele, Afrikaans, English</v>
      </c>
      <c r="F58" s="5" t="str">
        <f ca="1">IFERROR(__xludf.DUMMYFUNCTION("""COMPUTED_VALUE"""),"Painter")</f>
        <v>Painter</v>
      </c>
      <c r="G58" s="5" t="str">
        <f ca="1">IFERROR(__xludf.DUMMYFUNCTION("""COMPUTED_VALUE"""),"General Worker, Plaster")</f>
        <v>General Worker, Plaster</v>
      </c>
    </row>
    <row r="59" spans="1:7" ht="22.5" customHeight="1" x14ac:dyDescent="0.2">
      <c r="A59" s="5" t="str">
        <f ca="1">IFERROR(__xludf.DUMMYFUNCTION("""COMPUTED_VALUE"""),"Hamlet Thobela")</f>
        <v>Hamlet Thobela</v>
      </c>
      <c r="B59" s="5">
        <f ca="1">IFERROR(__xludf.DUMMYFUNCTION("""COMPUTED_VALUE"""),31)</f>
        <v>31</v>
      </c>
      <c r="C59" s="5" t="str">
        <f ca="1">IFERROR(__xludf.DUMMYFUNCTION("""COMPUTED_VALUE"""),"Male")</f>
        <v>Male</v>
      </c>
      <c r="D59" s="5" t="str">
        <f ca="1">IFERROR(__xludf.DUMMYFUNCTION("""COMPUTED_VALUE""")," +27 0648811490")</f>
        <v xml:space="preserve"> +27 0648811490</v>
      </c>
      <c r="E59" s="5" t="str">
        <f ca="1">IFERROR(__xludf.DUMMYFUNCTION("""COMPUTED_VALUE"""),"English, Zulu")</f>
        <v>English, Zulu</v>
      </c>
      <c r="F59" s="5" t="str">
        <f ca="1">IFERROR(__xludf.DUMMYFUNCTION("""COMPUTED_VALUE"""),"General work")</f>
        <v>General work</v>
      </c>
      <c r="G59" s="5" t="str">
        <f ca="1">IFERROR(__xludf.DUMMYFUNCTION("""COMPUTED_VALUE"""),"Security, General work")</f>
        <v>Security, General work</v>
      </c>
    </row>
    <row r="60" spans="1:7" ht="22.5" customHeight="1" x14ac:dyDescent="0.2">
      <c r="A60" s="5" t="str">
        <f ca="1">IFERROR(__xludf.DUMMYFUNCTION("""COMPUTED_VALUE"""),"Hridile Sigodi")</f>
        <v>Hridile Sigodi</v>
      </c>
      <c r="B60" s="5">
        <f ca="1">IFERROR(__xludf.DUMMYFUNCTION("""COMPUTED_VALUE"""),51)</f>
        <v>51</v>
      </c>
      <c r="C60" s="5" t="str">
        <f ca="1">IFERROR(__xludf.DUMMYFUNCTION("""COMPUTED_VALUE"""),"Male")</f>
        <v>Male</v>
      </c>
      <c r="D60" s="5" t="str">
        <f ca="1">IFERROR(__xludf.DUMMYFUNCTION("""COMPUTED_VALUE""")," +27 0661056256")</f>
        <v xml:space="preserve"> +27 0661056256</v>
      </c>
      <c r="E60" s="5" t="str">
        <f ca="1">IFERROR(__xludf.DUMMYFUNCTION("""COMPUTED_VALUE"""),"Xhosa")</f>
        <v>Xhosa</v>
      </c>
      <c r="F60" s="5" t="str">
        <f ca="1">IFERROR(__xludf.DUMMYFUNCTION("""COMPUTED_VALUE"""),"General")</f>
        <v>General</v>
      </c>
      <c r="G60" s="5" t="str">
        <f ca="1">IFERROR(__xludf.DUMMYFUNCTION("""COMPUTED_VALUE"""),"Security")</f>
        <v>Security</v>
      </c>
    </row>
    <row r="61" spans="1:7" ht="22.5" customHeight="1" x14ac:dyDescent="0.2">
      <c r="A61" s="5" t="str">
        <f ca="1">IFERROR(__xludf.DUMMYFUNCTION("""COMPUTED_VALUE"""),"Ishmael Mlima")</f>
        <v>Ishmael Mlima</v>
      </c>
      <c r="B61" s="5">
        <f ca="1">IFERROR(__xludf.DUMMYFUNCTION("""COMPUTED_VALUE"""),53)</f>
        <v>53</v>
      </c>
      <c r="C61" s="5" t="str">
        <f ca="1">IFERROR(__xludf.DUMMYFUNCTION("""COMPUTED_VALUE"""),"Male")</f>
        <v>Male</v>
      </c>
      <c r="D61" s="5" t="str">
        <f ca="1">IFERROR(__xludf.DUMMYFUNCTION("""COMPUTED_VALUE""")," +27 0648811490")</f>
        <v xml:space="preserve"> +27 0648811490</v>
      </c>
      <c r="E61" s="5" t="str">
        <f ca="1">IFERROR(__xludf.DUMMYFUNCTION("""COMPUTED_VALUE"""),"Zulu")</f>
        <v>Zulu</v>
      </c>
      <c r="F61" s="5" t="str">
        <f ca="1">IFERROR(__xludf.DUMMYFUNCTION("""COMPUTED_VALUE"""),"General")</f>
        <v>General</v>
      </c>
      <c r="G61" s="5" t="str">
        <f ca="1">IFERROR(__xludf.DUMMYFUNCTION("""COMPUTED_VALUE"""),"Painting, Plastering, General work &amp; Gardening")</f>
        <v>Painting, Plastering, General work &amp; Gardening</v>
      </c>
    </row>
    <row r="62" spans="1:7" ht="22.5" customHeight="1" x14ac:dyDescent="0.2">
      <c r="A62" s="5" t="str">
        <f ca="1">IFERROR(__xludf.DUMMYFUNCTION("""COMPUTED_VALUE"""),"Jeremiah Mamaile")</f>
        <v>Jeremiah Mamaile</v>
      </c>
      <c r="B62" s="5">
        <f ca="1">IFERROR(__xludf.DUMMYFUNCTION("""COMPUTED_VALUE"""),60)</f>
        <v>60</v>
      </c>
      <c r="C62" s="5" t="str">
        <f ca="1">IFERROR(__xludf.DUMMYFUNCTION("""COMPUTED_VALUE"""),"Male")</f>
        <v>Male</v>
      </c>
      <c r="D62" s="5" t="str">
        <f ca="1">IFERROR(__xludf.DUMMYFUNCTION("""COMPUTED_VALUE""")," +27 0799242400")</f>
        <v xml:space="preserve"> +27 0799242400</v>
      </c>
      <c r="E62" s="5" t="str">
        <f ca="1">IFERROR(__xludf.DUMMYFUNCTION("""COMPUTED_VALUE"""),"English, Afrikaans, North Sotho")</f>
        <v>English, Afrikaans, North Sotho</v>
      </c>
      <c r="F62" s="5" t="str">
        <f ca="1">IFERROR(__xludf.DUMMYFUNCTION("""COMPUTED_VALUE"""),"General Worker")</f>
        <v>General Worker</v>
      </c>
      <c r="G62" s="5" t="str">
        <f ca="1">IFERROR(__xludf.DUMMYFUNCTION("""COMPUTED_VALUE"""),"None")</f>
        <v>None</v>
      </c>
    </row>
    <row r="63" spans="1:7" ht="22.5" customHeight="1" x14ac:dyDescent="0.2">
      <c r="A63" s="5" t="str">
        <f ca="1">IFERROR(__xludf.DUMMYFUNCTION("""COMPUTED_VALUE"""),"Joseph Given Mashele")</f>
        <v>Joseph Given Mashele</v>
      </c>
      <c r="B63" s="5">
        <f ca="1">IFERROR(__xludf.DUMMYFUNCTION("""COMPUTED_VALUE"""),37)</f>
        <v>37</v>
      </c>
      <c r="C63" s="5" t="str">
        <f ca="1">IFERROR(__xludf.DUMMYFUNCTION("""COMPUTED_VALUE"""),"Male")</f>
        <v>Male</v>
      </c>
      <c r="D63" s="5" t="str">
        <f ca="1">IFERROR(__xludf.DUMMYFUNCTION("""COMPUTED_VALUE""")," +27 0768443279")</f>
        <v xml:space="preserve"> +27 0768443279</v>
      </c>
      <c r="E63" s="5" t="str">
        <f ca="1">IFERROR(__xludf.DUMMYFUNCTION("""COMPUTED_VALUE"""),"English")</f>
        <v>English</v>
      </c>
      <c r="F63" s="5" t="str">
        <f ca="1">IFERROR(__xludf.DUMMYFUNCTION("""COMPUTED_VALUE"""),"General Worker")</f>
        <v>General Worker</v>
      </c>
      <c r="G63" s="5" t="str">
        <f ca="1">IFERROR(__xludf.DUMMYFUNCTION("""COMPUTED_VALUE"""),"None")</f>
        <v>None</v>
      </c>
    </row>
    <row r="64" spans="1:7" ht="22.5" customHeight="1" x14ac:dyDescent="0.2">
      <c r="A64" s="5" t="str">
        <f ca="1">IFERROR(__xludf.DUMMYFUNCTION("""COMPUTED_VALUE"""),"Joseph Mupoga")</f>
        <v>Joseph Mupoga</v>
      </c>
      <c r="B64" s="5">
        <f ca="1">IFERROR(__xludf.DUMMYFUNCTION("""COMPUTED_VALUE"""),30)</f>
        <v>30</v>
      </c>
      <c r="C64" s="5" t="str">
        <f ca="1">IFERROR(__xludf.DUMMYFUNCTION("""COMPUTED_VALUE"""),"Male")</f>
        <v>Male</v>
      </c>
      <c r="D64" s="5" t="str">
        <f ca="1">IFERROR(__xludf.DUMMYFUNCTION("""COMPUTED_VALUE""")," +27 0836560336")</f>
        <v xml:space="preserve"> +27 0836560336</v>
      </c>
      <c r="E64" s="5" t="str">
        <f ca="1">IFERROR(__xludf.DUMMYFUNCTION("""COMPUTED_VALUE"""),"English")</f>
        <v>English</v>
      </c>
      <c r="F64" s="5" t="str">
        <f ca="1">IFERROR(__xludf.DUMMYFUNCTION("""COMPUTED_VALUE"""),"General Worker")</f>
        <v>General Worker</v>
      </c>
      <c r="G64" s="5" t="str">
        <f ca="1">IFERROR(__xludf.DUMMYFUNCTION("""COMPUTED_VALUE"""),"None")</f>
        <v>None</v>
      </c>
    </row>
    <row r="65" spans="1:7" ht="22.5" customHeight="1" x14ac:dyDescent="0.2">
      <c r="A65" s="5" t="str">
        <f ca="1">IFERROR(__xludf.DUMMYFUNCTION("""COMPUTED_VALUE"""),"Jostice Muzi Hcatshwalo")</f>
        <v>Jostice Muzi Hcatshwalo</v>
      </c>
      <c r="B65" s="5">
        <f ca="1">IFERROR(__xludf.DUMMYFUNCTION("""COMPUTED_VALUE"""),45)</f>
        <v>45</v>
      </c>
      <c r="C65" s="5" t="str">
        <f ca="1">IFERROR(__xludf.DUMMYFUNCTION("""COMPUTED_VALUE"""),"Male")</f>
        <v>Male</v>
      </c>
      <c r="D65" s="5" t="str">
        <f ca="1">IFERROR(__xludf.DUMMYFUNCTION("""COMPUTED_VALUE""")," +27 0726125565")</f>
        <v xml:space="preserve"> +27 0726125565</v>
      </c>
      <c r="E65" s="5" t="str">
        <f ca="1">IFERROR(__xludf.DUMMYFUNCTION("""COMPUTED_VALUE"""),"English")</f>
        <v>English</v>
      </c>
      <c r="F65" s="5" t="str">
        <f ca="1">IFERROR(__xludf.DUMMYFUNCTION("""COMPUTED_VALUE"""),"Assistant")</f>
        <v>Assistant</v>
      </c>
      <c r="G65" s="5" t="str">
        <f ca="1">IFERROR(__xludf.DUMMYFUNCTION("""COMPUTED_VALUE"""),"Scaffold charge hand. Boilermaker semi-skilled for almost 5 months at Stainmdlev. General work")</f>
        <v>Scaffold charge hand. Boilermaker semi-skilled for almost 5 months at Stainmdlev. General work</v>
      </c>
    </row>
    <row r="66" spans="1:7" ht="22.5" customHeight="1" x14ac:dyDescent="0.2">
      <c r="A66" s="5" t="s">
        <v>258</v>
      </c>
      <c r="B66" s="5">
        <v>54</v>
      </c>
      <c r="C66" s="5" t="s">
        <v>21</v>
      </c>
      <c r="D66" s="22" t="s">
        <v>259</v>
      </c>
      <c r="E66" s="5" t="s">
        <v>38</v>
      </c>
      <c r="F66" s="5" t="s">
        <v>55</v>
      </c>
      <c r="G66" s="5"/>
    </row>
    <row r="67" spans="1:7" ht="22.5" customHeight="1" x14ac:dyDescent="0.2">
      <c r="A67" s="5" t="str">
        <f ca="1">IFERROR(__xludf.DUMMYFUNCTION("""COMPUTED_VALUE"""),"Magolego Bethuel Maputuku")</f>
        <v>Magolego Bethuel Maputuku</v>
      </c>
      <c r="B67" s="5">
        <f ca="1">IFERROR(__xludf.DUMMYFUNCTION("""COMPUTED_VALUE"""),42)</f>
        <v>42</v>
      </c>
      <c r="C67" s="5" t="str">
        <f ca="1">IFERROR(__xludf.DUMMYFUNCTION("""COMPUTED_VALUE"""),"Male")</f>
        <v>Male</v>
      </c>
      <c r="D67" s="5" t="str">
        <f ca="1">IFERROR(__xludf.DUMMYFUNCTION("""COMPUTED_VALUE""")," +27 0664108712")</f>
        <v xml:space="preserve"> +27 0664108712</v>
      </c>
      <c r="E67" s="5" t="str">
        <f ca="1">IFERROR(__xludf.DUMMYFUNCTION("""COMPUTED_VALUE"""),"English, Sepedi")</f>
        <v>English, Sepedi</v>
      </c>
      <c r="F67" s="5" t="str">
        <f ca="1">IFERROR(__xludf.DUMMYFUNCTION("""COMPUTED_VALUE"""),"General Worker")</f>
        <v>General Worker</v>
      </c>
      <c r="G67" s="5" t="str">
        <f ca="1">IFERROR(__xludf.DUMMYFUNCTION("""COMPUTED_VALUE"""),"Five years in Painting")</f>
        <v>Five years in Painting</v>
      </c>
    </row>
    <row r="68" spans="1:7" ht="22.5" customHeight="1" x14ac:dyDescent="0.2">
      <c r="A68" s="5" t="s">
        <v>250</v>
      </c>
      <c r="B68" s="5">
        <v>27</v>
      </c>
      <c r="C68" s="5" t="s">
        <v>249</v>
      </c>
      <c r="D68" s="22" t="s">
        <v>251</v>
      </c>
      <c r="E68" s="5" t="s">
        <v>33</v>
      </c>
      <c r="F68" s="5" t="s">
        <v>55</v>
      </c>
      <c r="G68" s="5"/>
    </row>
    <row r="69" spans="1:7" ht="22.5" customHeight="1" x14ac:dyDescent="0.2">
      <c r="A69" s="5" t="s">
        <v>240</v>
      </c>
      <c r="B69" s="5">
        <v>51</v>
      </c>
      <c r="C69" s="5" t="s">
        <v>21</v>
      </c>
      <c r="D69" s="22" t="s">
        <v>242</v>
      </c>
      <c r="E69" s="5" t="s">
        <v>243</v>
      </c>
      <c r="F69" s="5" t="s">
        <v>55</v>
      </c>
      <c r="G69" s="5"/>
    </row>
    <row r="70" spans="1:7" ht="22.5" customHeight="1" x14ac:dyDescent="0.2">
      <c r="A70" s="5" t="s">
        <v>246</v>
      </c>
      <c r="B70" s="5">
        <v>25</v>
      </c>
      <c r="C70" s="5" t="s">
        <v>249</v>
      </c>
      <c r="D70" s="22" t="s">
        <v>247</v>
      </c>
      <c r="E70" s="5" t="s">
        <v>248</v>
      </c>
      <c r="F70" s="5" t="s">
        <v>55</v>
      </c>
      <c r="G70" s="5"/>
    </row>
    <row r="72" spans="1:7" ht="25.5" x14ac:dyDescent="0.35">
      <c r="D72" s="9" t="s">
        <v>11</v>
      </c>
    </row>
    <row r="73" spans="1:7" ht="22.5" customHeight="1" x14ac:dyDescent="0.2">
      <c r="A73" s="4" t="s">
        <v>1</v>
      </c>
      <c r="B73" s="4" t="s">
        <v>2</v>
      </c>
      <c r="C73" s="4" t="s">
        <v>3</v>
      </c>
      <c r="D73" s="4" t="s">
        <v>4</v>
      </c>
      <c r="E73" s="4" t="s">
        <v>5</v>
      </c>
      <c r="F73" s="4" t="s">
        <v>6</v>
      </c>
      <c r="G73" s="4" t="s">
        <v>7</v>
      </c>
    </row>
    <row r="74" spans="1:7" ht="22.5" customHeight="1" x14ac:dyDescent="0.2">
      <c r="A74" s="5" t="str">
        <f ca="1">IFERROR(__xludf.DUMMYFUNCTION("QUERY(FullTable!A1:G44, ""SELECT * WHERE F contains 'Garden' OR G contains 'Garden'"", 0)"),"Daniel Mapoepoe Komane")</f>
        <v>Daniel Mapoepoe Komane</v>
      </c>
      <c r="B74" s="5">
        <f ca="1">IFERROR(__xludf.DUMMYFUNCTION("""COMPUTED_VALUE"""),49)</f>
        <v>49</v>
      </c>
      <c r="C74" s="5" t="str">
        <f ca="1">IFERROR(__xludf.DUMMYFUNCTION("""COMPUTED_VALUE"""),"Male")</f>
        <v>Male</v>
      </c>
      <c r="D74" s="5" t="str">
        <f ca="1">IFERROR(__xludf.DUMMYFUNCTION("""COMPUTED_VALUE""")," +27 0725793864")</f>
        <v xml:space="preserve"> +27 0725793864</v>
      </c>
      <c r="E74" s="5" t="str">
        <f ca="1">IFERROR(__xludf.DUMMYFUNCTION("""COMPUTED_VALUE"""),"North Sotho, English")</f>
        <v>North Sotho, English</v>
      </c>
      <c r="F74" s="5" t="str">
        <f ca="1">IFERROR(__xludf.DUMMYFUNCTION("""COMPUTED_VALUE"""),"Painter")</f>
        <v>Painter</v>
      </c>
      <c r="G74" s="5" t="str">
        <f ca="1">IFERROR(__xludf.DUMMYFUNCTION("""COMPUTED_VALUE"""),"Refrigrration, Plumber, Gardener, Maintenance")</f>
        <v>Refrigrration, Plumber, Gardener, Maintenance</v>
      </c>
    </row>
    <row r="75" spans="1:7" ht="22.5" customHeight="1" x14ac:dyDescent="0.2">
      <c r="A75" s="5" t="str">
        <f ca="1">IFERROR(__xludf.DUMMYFUNCTION("""COMPUTED_VALUE"""),"Desmond Zamani Zulu")</f>
        <v>Desmond Zamani Zulu</v>
      </c>
      <c r="B75" s="5">
        <f ca="1">IFERROR(__xludf.DUMMYFUNCTION("""COMPUTED_VALUE"""),41)</f>
        <v>41</v>
      </c>
      <c r="C75" s="5" t="str">
        <f ca="1">IFERROR(__xludf.DUMMYFUNCTION("""COMPUTED_VALUE"""),"Male")</f>
        <v>Male</v>
      </c>
      <c r="D75" s="5" t="str">
        <f ca="1">IFERROR(__xludf.DUMMYFUNCTION("""COMPUTED_VALUE""")," +27 0836637663")</f>
        <v xml:space="preserve"> +27 0836637663</v>
      </c>
      <c r="E75" s="5" t="str">
        <f ca="1">IFERROR(__xludf.DUMMYFUNCTION("""COMPUTED_VALUE"""),"English, Zulu")</f>
        <v>English, Zulu</v>
      </c>
      <c r="F75" s="5" t="str">
        <f ca="1">IFERROR(__xludf.DUMMYFUNCTION("""COMPUTED_VALUE"""),"Security Officer")</f>
        <v>Security Officer</v>
      </c>
      <c r="G75" s="5" t="str">
        <f ca="1">IFERROR(__xludf.DUMMYFUNCTION("""COMPUTED_VALUE"""),"General work, Painting, Gardening, Ceiling, Grade B, Driver licence, Competency for firearms")</f>
        <v>General work, Painting, Gardening, Ceiling, Grade B, Driver licence, Competency for firearms</v>
      </c>
    </row>
    <row r="76" spans="1:7" ht="22.5" customHeight="1" x14ac:dyDescent="0.2">
      <c r="A76" s="5" t="str">
        <f ca="1">IFERROR(__xludf.DUMMYFUNCTION("""COMPUTED_VALUE"""),"Devilliers Phaswane")</f>
        <v>Devilliers Phaswane</v>
      </c>
      <c r="B76" s="5">
        <f ca="1">IFERROR(__xludf.DUMMYFUNCTION("""COMPUTED_VALUE"""),53)</f>
        <v>53</v>
      </c>
      <c r="C76" s="5" t="str">
        <f ca="1">IFERROR(__xludf.DUMMYFUNCTION("""COMPUTED_VALUE"""),"Male")</f>
        <v>Male</v>
      </c>
      <c r="D76" s="5" t="str">
        <f ca="1">IFERROR(__xludf.DUMMYFUNCTION("""COMPUTED_VALUE""")," +27 0724302234")</f>
        <v xml:space="preserve"> +27 0724302234</v>
      </c>
      <c r="E76" s="5" t="str">
        <f ca="1">IFERROR(__xludf.DUMMYFUNCTION("""COMPUTED_VALUE"""),"English")</f>
        <v>English</v>
      </c>
      <c r="F76" s="5" t="str">
        <f ca="1">IFERROR(__xludf.DUMMYFUNCTION("""COMPUTED_VALUE"""),"Gardener")</f>
        <v>Gardener</v>
      </c>
      <c r="G76" s="5" t="str">
        <f ca="1">IFERROR(__xludf.DUMMYFUNCTION("""COMPUTED_VALUE"""),"13 years")</f>
        <v>13 years</v>
      </c>
    </row>
    <row r="77" spans="1:7" ht="22.5" customHeight="1" x14ac:dyDescent="0.2">
      <c r="A77" s="5" t="str">
        <f ca="1">IFERROR(__xludf.DUMMYFUNCTION("""COMPUTED_VALUE"""),"Ephraim Nkosi")</f>
        <v>Ephraim Nkosi</v>
      </c>
      <c r="B77" s="5">
        <f ca="1">IFERROR(__xludf.DUMMYFUNCTION("""COMPUTED_VALUE"""),48)</f>
        <v>48</v>
      </c>
      <c r="C77" s="5" t="str">
        <f ca="1">IFERROR(__xludf.DUMMYFUNCTION("""COMPUTED_VALUE"""),"Male")</f>
        <v>Male</v>
      </c>
      <c r="D77" s="5" t="str">
        <f ca="1">IFERROR(__xludf.DUMMYFUNCTION("""COMPUTED_VALUE""")," +27 0792413269")</f>
        <v xml:space="preserve"> +27 0792413269</v>
      </c>
      <c r="E77" s="5" t="str">
        <f ca="1">IFERROR(__xludf.DUMMYFUNCTION("""COMPUTED_VALUE"""),"English, Afrikaans, Zulu, North Sepedi")</f>
        <v>English, Afrikaans, Zulu, North Sepedi</v>
      </c>
      <c r="F77" s="5" t="str">
        <f ca="1">IFERROR(__xludf.DUMMYFUNCTION("""COMPUTED_VALUE"""),"Garden Work")</f>
        <v>Garden Work</v>
      </c>
      <c r="G77" s="5" t="str">
        <f ca="1">IFERROR(__xludf.DUMMYFUNCTION("""COMPUTED_VALUE"""),"Work as instructed. Polite, respectful")</f>
        <v>Work as instructed. Polite, respectful</v>
      </c>
    </row>
    <row r="78" spans="1:7" ht="22.5" customHeight="1" x14ac:dyDescent="0.2">
      <c r="A78" s="5" t="s">
        <v>229</v>
      </c>
      <c r="B78" s="5">
        <v>33</v>
      </c>
      <c r="C78" s="5" t="s">
        <v>21</v>
      </c>
      <c r="D78" s="22" t="s">
        <v>232</v>
      </c>
      <c r="E78" s="5" t="s">
        <v>233</v>
      </c>
      <c r="F78" s="5" t="s">
        <v>234</v>
      </c>
      <c r="G78" s="5" t="s">
        <v>235</v>
      </c>
    </row>
    <row r="79" spans="1:7" ht="22.5" customHeight="1" x14ac:dyDescent="0.2">
      <c r="A79" s="5" t="str">
        <f ca="1">IFERROR(__xludf.DUMMYFUNCTION("""COMPUTED_VALUE"""),"Ishmael Mlima")</f>
        <v>Ishmael Mlima</v>
      </c>
      <c r="B79" s="5">
        <f ca="1">IFERROR(__xludf.DUMMYFUNCTION("""COMPUTED_VALUE"""),53)</f>
        <v>53</v>
      </c>
      <c r="C79" s="5" t="str">
        <f ca="1">IFERROR(__xludf.DUMMYFUNCTION("""COMPUTED_VALUE"""),"Male")</f>
        <v>Male</v>
      </c>
      <c r="D79" s="5" t="str">
        <f ca="1">IFERROR(__xludf.DUMMYFUNCTION("""COMPUTED_VALUE""")," +27 0648811490")</f>
        <v xml:space="preserve"> +27 0648811490</v>
      </c>
      <c r="E79" s="5" t="str">
        <f ca="1">IFERROR(__xludf.DUMMYFUNCTION("""COMPUTED_VALUE"""),"Zulu")</f>
        <v>Zulu</v>
      </c>
      <c r="F79" s="5" t="str">
        <f ca="1">IFERROR(__xludf.DUMMYFUNCTION("""COMPUTED_VALUE"""),"General")</f>
        <v>General</v>
      </c>
      <c r="G79" s="5" t="str">
        <f ca="1">IFERROR(__xludf.DUMMYFUNCTION("""COMPUTED_VALUE"""),"Painting, Plastering, General work &amp; Gardening")</f>
        <v>Painting, Plastering, General work &amp; Gardening</v>
      </c>
    </row>
    <row r="80" spans="1:7" ht="22.5" customHeight="1" x14ac:dyDescent="0.2">
      <c r="A80" s="5" t="str">
        <f ca="1">IFERROR(__xludf.DUMMYFUNCTION("""COMPUTED_VALUE"""),"Ismary Molema")</f>
        <v>Ismary Molema</v>
      </c>
      <c r="B80" s="5">
        <f ca="1">IFERROR(__xludf.DUMMYFUNCTION("""COMPUTED_VALUE"""),52)</f>
        <v>52</v>
      </c>
      <c r="C80" s="5" t="str">
        <f ca="1">IFERROR(__xludf.DUMMYFUNCTION("""COMPUTED_VALUE"""),"Male")</f>
        <v>Male</v>
      </c>
      <c r="D80" s="5" t="str">
        <f ca="1">IFERROR(__xludf.DUMMYFUNCTION("""COMPUTED_VALUE""")," +27 0729267885")</f>
        <v xml:space="preserve"> +27 0729267885</v>
      </c>
      <c r="E80" s="5" t="str">
        <f ca="1">IFERROR(__xludf.DUMMYFUNCTION("""COMPUTED_VALUE"""),"Portuguese")</f>
        <v>Portuguese</v>
      </c>
      <c r="F80" s="5" t="str">
        <f ca="1">IFERROR(__xludf.DUMMYFUNCTION("""COMPUTED_VALUE"""),"Painting")</f>
        <v>Painting</v>
      </c>
      <c r="G80" s="5" t="str">
        <f ca="1">IFERROR(__xludf.DUMMYFUNCTION("""COMPUTED_VALUE"""),"Construction, Gardening/Operating lawn mowing machine")</f>
        <v>Construction, Gardening/Operating lawn mowing machine</v>
      </c>
    </row>
    <row r="81" spans="1:7" ht="22.5" customHeight="1" x14ac:dyDescent="0.2">
      <c r="A81" s="5" t="str">
        <f ca="1">IFERROR(__xludf.DUMMYFUNCTION("""COMPUTED_VALUE"""),"Jim Thobejane")</f>
        <v>Jim Thobejane</v>
      </c>
      <c r="B81" s="5">
        <f ca="1">IFERROR(__xludf.DUMMYFUNCTION("""COMPUTED_VALUE"""),55)</f>
        <v>55</v>
      </c>
      <c r="C81" s="5" t="str">
        <f ca="1">IFERROR(__xludf.DUMMYFUNCTION("""COMPUTED_VALUE"""),"Male")</f>
        <v>Male</v>
      </c>
      <c r="D81" s="5" t="str">
        <f ca="1">IFERROR(__xludf.DUMMYFUNCTION("""COMPUTED_VALUE""")," +27 0647253712")</f>
        <v xml:space="preserve"> +27 0647253712</v>
      </c>
      <c r="E81" s="5" t="str">
        <f ca="1">IFERROR(__xludf.DUMMYFUNCTION("""COMPUTED_VALUE"""),"Sepedi")</f>
        <v>Sepedi</v>
      </c>
      <c r="F81" s="5" t="str">
        <f ca="1">IFERROR(__xludf.DUMMYFUNCTION("""COMPUTED_VALUE"""),"Painting")</f>
        <v>Painting</v>
      </c>
      <c r="G81" s="5" t="str">
        <f ca="1">IFERROR(__xludf.DUMMYFUNCTION("""COMPUTED_VALUE"""),"Gardener, 5 years")</f>
        <v>Gardener, 5 years</v>
      </c>
    </row>
    <row r="82" spans="1:7" ht="22.5" customHeight="1" x14ac:dyDescent="0.2">
      <c r="A82" s="5" t="str">
        <f ca="1">IFERROR(__xludf.DUMMYFUNCTION("""COMPUTED_VALUE"""),"Johonnes Sukaz")</f>
        <v>Johonnes Sukaz</v>
      </c>
      <c r="B82" s="5">
        <f ca="1">IFERROR(__xludf.DUMMYFUNCTION("""COMPUTED_VALUE"""),52)</f>
        <v>52</v>
      </c>
      <c r="C82" s="5" t="str">
        <f ca="1">IFERROR(__xludf.DUMMYFUNCTION("""COMPUTED_VALUE"""),"Male")</f>
        <v>Male</v>
      </c>
      <c r="D82" s="5" t="str">
        <f ca="1">IFERROR(__xludf.DUMMYFUNCTION("""COMPUTED_VALUE""")," +27 0798203567")</f>
        <v xml:space="preserve"> +27 0798203567</v>
      </c>
      <c r="E82" s="5" t="str">
        <f ca="1">IFERROR(__xludf.DUMMYFUNCTION("""COMPUTED_VALUE"""),"Zulu")</f>
        <v>Zulu</v>
      </c>
      <c r="F82" s="5" t="str">
        <f ca="1">IFERROR(__xludf.DUMMYFUNCTION("""COMPUTED_VALUE"""),"Gardening")</f>
        <v>Gardening</v>
      </c>
      <c r="G82" s="5" t="str">
        <f ca="1">IFERROR(__xludf.DUMMYFUNCTION("""COMPUTED_VALUE"""),"Painter ")</f>
        <v xml:space="preserve">Painter </v>
      </c>
    </row>
    <row r="84" spans="1:7" ht="25.5" x14ac:dyDescent="0.35">
      <c r="D84" s="9" t="s">
        <v>12</v>
      </c>
    </row>
    <row r="85" spans="1:7" ht="22.5" customHeight="1" x14ac:dyDescent="0.2">
      <c r="A85" s="4" t="s">
        <v>1</v>
      </c>
      <c r="B85" s="4" t="s">
        <v>2</v>
      </c>
      <c r="C85" s="4" t="s">
        <v>3</v>
      </c>
      <c r="D85" s="4" t="s">
        <v>4</v>
      </c>
      <c r="E85" s="4" t="s">
        <v>5</v>
      </c>
      <c r="F85" s="4" t="s">
        <v>6</v>
      </c>
      <c r="G85" s="4" t="s">
        <v>7</v>
      </c>
    </row>
    <row r="86" spans="1:7" ht="22.5" customHeight="1" x14ac:dyDescent="0.2">
      <c r="A86" s="5" t="str">
        <f ca="1">IFERROR(__xludf.DUMMYFUNCTION("QUERY(FullTable!A1:G44, ""SELECT * WHERE F contains 'Admin' OR G contains 'Admin'"", 0)"),"Dionne van de Merwe")</f>
        <v>Dionne van de Merwe</v>
      </c>
      <c r="B86" s="5">
        <f ca="1">IFERROR(__xludf.DUMMYFUNCTION("""COMPUTED_VALUE"""),49)</f>
        <v>49</v>
      </c>
      <c r="C86" s="5" t="str">
        <f ca="1">IFERROR(__xludf.DUMMYFUNCTION("""COMPUTED_VALUE"""),"Female")</f>
        <v>Female</v>
      </c>
      <c r="D86" s="5" t="str">
        <f ca="1">IFERROR(__xludf.DUMMYFUNCTION("""COMPUTED_VALUE""")," +27 0781096178")</f>
        <v xml:space="preserve"> +27 0781096178</v>
      </c>
      <c r="E86" s="5" t="str">
        <f ca="1">IFERROR(__xludf.DUMMYFUNCTION("""COMPUTED_VALUE"""),"English")</f>
        <v>English</v>
      </c>
      <c r="F86" s="5" t="str">
        <f ca="1">IFERROR(__xludf.DUMMYFUNCTION("""COMPUTED_VALUE"""),"Admin")</f>
        <v>Admin</v>
      </c>
      <c r="G86" s="5" t="str">
        <f ca="1">IFERROR(__xludf.DUMMYFUNCTION("""COMPUTED_VALUE"""),"Office, Qualified Nail Tech, International Dip, Enjoy Cooking, Catering had own meals on Wheels Camp")</f>
        <v>Office, Qualified Nail Tech, International Dip, Enjoy Cooking, Catering had own meals on Wheels Camp</v>
      </c>
    </row>
    <row r="88" spans="1:7" ht="25.5" x14ac:dyDescent="0.35">
      <c r="D88" s="10" t="s">
        <v>13</v>
      </c>
    </row>
    <row r="89" spans="1:7" ht="22.5" customHeight="1" x14ac:dyDescent="0.2">
      <c r="A89" s="4" t="s">
        <v>1</v>
      </c>
      <c r="B89" s="4" t="s">
        <v>2</v>
      </c>
      <c r="C89" s="4" t="s">
        <v>3</v>
      </c>
      <c r="D89" s="4" t="s">
        <v>4</v>
      </c>
      <c r="E89" s="4" t="s">
        <v>5</v>
      </c>
      <c r="F89" s="4" t="s">
        <v>6</v>
      </c>
      <c r="G89" s="4" t="s">
        <v>7</v>
      </c>
    </row>
    <row r="90" spans="1:7" ht="22.5" customHeight="1" x14ac:dyDescent="0.2">
      <c r="A90" s="5" t="str">
        <f ca="1">IFERROR(__xludf.DUMMYFUNCTION("QUERY(FullTable!A1:G44, ""SELECT * WHERE F contains 'Drive' OR G contains 'Driver'"", 0)"),"Aubmery Mnuisi")</f>
        <v>Aubmery Mnuisi</v>
      </c>
      <c r="B90" s="5">
        <f ca="1">IFERROR(__xludf.DUMMYFUNCTION("""COMPUTED_VALUE"""),47)</f>
        <v>47</v>
      </c>
      <c r="C90" s="5" t="str">
        <f ca="1">IFERROR(__xludf.DUMMYFUNCTION("""COMPUTED_VALUE"""),"Male")</f>
        <v>Male</v>
      </c>
      <c r="D90" s="5" t="str">
        <f ca="1">IFERROR(__xludf.DUMMYFUNCTION("""COMPUTED_VALUE""")," +27 0720439678/0822007864")</f>
        <v xml:space="preserve"> +27 0720439678/0822007864</v>
      </c>
      <c r="E90" s="5" t="str">
        <f ca="1">IFERROR(__xludf.DUMMYFUNCTION("""COMPUTED_VALUE"""),"Zulu, English")</f>
        <v>Zulu, English</v>
      </c>
      <c r="F90" s="5" t="str">
        <f ca="1">IFERROR(__xludf.DUMMYFUNCTION("""COMPUTED_VALUE"""),"Security Officer")</f>
        <v>Security Officer</v>
      </c>
      <c r="G90" s="5" t="str">
        <f ca="1">IFERROR(__xludf.DUMMYFUNCTION("""COMPUTED_VALUE"""),"Driver License, GB, C1 ed PD")</f>
        <v>Driver License, GB, C1 ed PD</v>
      </c>
    </row>
    <row r="91" spans="1:7" ht="22.5" customHeight="1" x14ac:dyDescent="0.2">
      <c r="A91" s="5" t="str">
        <f ca="1">IFERROR(__xludf.DUMMYFUNCTION("""COMPUTED_VALUE"""),"Desmond Zamani Zulu")</f>
        <v>Desmond Zamani Zulu</v>
      </c>
      <c r="B91" s="5">
        <f ca="1">IFERROR(__xludf.DUMMYFUNCTION("""COMPUTED_VALUE"""),41)</f>
        <v>41</v>
      </c>
      <c r="C91" s="5" t="str">
        <f ca="1">IFERROR(__xludf.DUMMYFUNCTION("""COMPUTED_VALUE"""),"Male")</f>
        <v>Male</v>
      </c>
      <c r="D91" s="5" t="str">
        <f ca="1">IFERROR(__xludf.DUMMYFUNCTION("""COMPUTED_VALUE""")," +27 0836637663")</f>
        <v xml:space="preserve"> +27 0836637663</v>
      </c>
      <c r="E91" s="5" t="str">
        <f ca="1">IFERROR(__xludf.DUMMYFUNCTION("""COMPUTED_VALUE"""),"English, Zulu")</f>
        <v>English, Zulu</v>
      </c>
      <c r="F91" s="5" t="str">
        <f ca="1">IFERROR(__xludf.DUMMYFUNCTION("""COMPUTED_VALUE"""),"Security Officer")</f>
        <v>Security Officer</v>
      </c>
      <c r="G91" s="5" t="str">
        <f ca="1">IFERROR(__xludf.DUMMYFUNCTION("""COMPUTED_VALUE"""),"General work, Painting, Gardening, Ceiling b, Reaction, Driver licence, Competency for firearms")</f>
        <v>General work, Painting, Gardening, Ceiling b, Reaction, Driver licence, Competency for firearms</v>
      </c>
    </row>
    <row r="92" spans="1:7" ht="22.5" customHeight="1" x14ac:dyDescent="0.2">
      <c r="A92" s="5" t="str">
        <f ca="1">IFERROR(__xludf.DUMMYFUNCTION("""COMPUTED_VALUE"""),"Ernest Matgibe")</f>
        <v>Ernest Matgibe</v>
      </c>
      <c r="B92" s="5">
        <f ca="1">IFERROR(__xludf.DUMMYFUNCTION("""COMPUTED_VALUE"""),48)</f>
        <v>48</v>
      </c>
      <c r="C92" s="5" t="str">
        <f ca="1">IFERROR(__xludf.DUMMYFUNCTION("""COMPUTED_VALUE"""),"Male")</f>
        <v>Male</v>
      </c>
      <c r="D92" s="5" t="str">
        <f ca="1">IFERROR(__xludf.DUMMYFUNCTION("""COMPUTED_VALUE""")," +27 0793638493")</f>
        <v xml:space="preserve"> +27 0793638493</v>
      </c>
      <c r="E92" s="5" t="str">
        <f ca="1">IFERROR(__xludf.DUMMYFUNCTION("""COMPUTED_VALUE"""),"Afrikaans, North Sotho, North Sepedi")</f>
        <v>Afrikaans, North Sotho, North Sepedi</v>
      </c>
      <c r="F92" s="5" t="str">
        <f ca="1">IFERROR(__xludf.DUMMYFUNCTION("""COMPUTED_VALUE"""),"Electric fence")</f>
        <v>Electric fence</v>
      </c>
      <c r="G92" s="5" t="str">
        <f ca="1">IFERROR(__xludf.DUMMYFUNCTION("""COMPUTED_VALUE"""),"Game gauging, Game fencing, Install, Installation, Maintenance, Drivers Licence Code 10 , L1")</f>
        <v>Game gauging, Game fencing, Install, Installation, Maintenance, Drivers Licence Code 10 , L1</v>
      </c>
    </row>
    <row r="93" spans="1:7" ht="22.5" customHeight="1" x14ac:dyDescent="0.2">
      <c r="A93" s="5" t="str">
        <f ca="1">IFERROR(__xludf.DUMMYFUNCTION("""COMPUTED_VALUE"""),"Jeffrey Maroga")</f>
        <v>Jeffrey Maroga</v>
      </c>
      <c r="B93" s="5">
        <f ca="1">IFERROR(__xludf.DUMMYFUNCTION("""COMPUTED_VALUE"""),46)</f>
        <v>46</v>
      </c>
      <c r="C93" s="5" t="str">
        <f ca="1">IFERROR(__xludf.DUMMYFUNCTION("""COMPUTED_VALUE"""),"Male")</f>
        <v>Male</v>
      </c>
      <c r="D93" s="5" t="str">
        <f ca="1">IFERROR(__xludf.DUMMYFUNCTION("""COMPUTED_VALUE""")," +27 0765705904/0737096723")</f>
        <v xml:space="preserve"> +27 0765705904/0737096723</v>
      </c>
      <c r="E93" s="5" t="str">
        <f ca="1">IFERROR(__xludf.DUMMYFUNCTION("""COMPUTED_VALUE"""),"North Sepedi, English")</f>
        <v>North Sepedi, English</v>
      </c>
      <c r="F93" s="5" t="str">
        <f ca="1">IFERROR(__xludf.DUMMYFUNCTION("""COMPUTED_VALUE"""),"Driver")</f>
        <v>Driver</v>
      </c>
      <c r="G93" s="5" t="str">
        <f ca="1">IFERROR(__xludf.DUMMYFUNCTION("""COMPUTED_VALUE"""),"10 ton PDP, 8 years experience driving, Assist Machine, Forklift Driver, Excavator Operator")</f>
        <v>10 ton PDP, 8 years experience driving, Assist Machine, Forklift Driver, Excavator Operator</v>
      </c>
    </row>
    <row r="94" spans="1:7" ht="22.5" customHeight="1" x14ac:dyDescent="0.2">
      <c r="A94" s="5" t="str">
        <f ca="1">IFERROR(__xludf.DUMMYFUNCTION("""COMPUTED_VALUE"""),"Knowledge Mbuiza")</f>
        <v>Knowledge Mbuiza</v>
      </c>
      <c r="B94" s="5">
        <f ca="1">IFERROR(__xludf.DUMMYFUNCTION("""COMPUTED_VALUE"""),37)</f>
        <v>37</v>
      </c>
      <c r="C94" s="5" t="str">
        <f ca="1">IFERROR(__xludf.DUMMYFUNCTION("""COMPUTED_VALUE"""),"Male")</f>
        <v>Male</v>
      </c>
      <c r="D94" s="5" t="str">
        <f ca="1">IFERROR(__xludf.DUMMYFUNCTION("""COMPUTED_VALUE""")," +27 0825078010")</f>
        <v xml:space="preserve"> +27 0825078010</v>
      </c>
      <c r="E94" s="5" t="str">
        <f ca="1">IFERROR(__xludf.DUMMYFUNCTION("""COMPUTED_VALUE"""),"English, Zulu")</f>
        <v>English, Zulu</v>
      </c>
      <c r="F94" s="5" t="str">
        <f ca="1">IFERROR(__xludf.DUMMYFUNCTION("""COMPUTED_VALUE"""),"Security")</f>
        <v>Security</v>
      </c>
      <c r="G94" s="5" t="str">
        <f ca="1">IFERROR(__xludf.DUMMYFUNCTION("""COMPUTED_VALUE"""),"Forklift, Driver licence, Wood cutting")</f>
        <v>Forklift, Driver licence, Wood cutting</v>
      </c>
    </row>
    <row r="95" spans="1:7" ht="22.5" customHeight="1" x14ac:dyDescent="0.2">
      <c r="A95" s="5" t="str">
        <f ca="1">IFERROR(__xludf.DUMMYFUNCTION("""COMPUTED_VALUE"""),"Louwrens")</f>
        <v>Louwrens</v>
      </c>
      <c r="B95" s="5">
        <f ca="1">IFERROR(__xludf.DUMMYFUNCTION("""COMPUTED_VALUE"""),49)</f>
        <v>49</v>
      </c>
      <c r="C95" s="5" t="str">
        <f ca="1">IFERROR(__xludf.DUMMYFUNCTION("""COMPUTED_VALUE"""),"Male")</f>
        <v>Male</v>
      </c>
      <c r="D95" s="5" t="str">
        <f ca="1">IFERROR(__xludf.DUMMYFUNCTION("""COMPUTED_VALUE""")," +27 0781096178")</f>
        <v xml:space="preserve"> +27 0781096178</v>
      </c>
      <c r="E95" s="5" t="str">
        <f ca="1">IFERROR(__xludf.DUMMYFUNCTION("""COMPUTED_VALUE"""),"Afrikaans")</f>
        <v>Afrikaans</v>
      </c>
      <c r="F95" s="5" t="str">
        <f ca="1">IFERROR(__xludf.DUMMYFUNCTION("""COMPUTED_VALUE"""),"Driver")</f>
        <v>Driver</v>
      </c>
      <c r="G95" s="5" t="str">
        <f ca="1">IFERROR(__xludf.DUMMYFUNCTION("""COMPUTED_VALUE"""),"EL, PDP, E and P, 30 year experience")</f>
        <v>EL, PDP, E and P, 30 year experience</v>
      </c>
    </row>
    <row r="97" spans="1:7" ht="25.5" x14ac:dyDescent="0.35">
      <c r="D97" s="11" t="s">
        <v>14</v>
      </c>
    </row>
    <row r="98" spans="1:7" ht="22.5" customHeight="1" x14ac:dyDescent="0.2">
      <c r="A98" s="4" t="s">
        <v>1</v>
      </c>
      <c r="B98" s="4" t="s">
        <v>2</v>
      </c>
      <c r="C98" s="4" t="s">
        <v>3</v>
      </c>
      <c r="D98" s="4" t="s">
        <v>4</v>
      </c>
      <c r="E98" s="4" t="s">
        <v>5</v>
      </c>
      <c r="F98" s="4" t="s">
        <v>6</v>
      </c>
      <c r="G98" s="4" t="s">
        <v>7</v>
      </c>
    </row>
    <row r="99" spans="1:7" ht="22.5" customHeight="1" x14ac:dyDescent="0.2">
      <c r="A99" s="5" t="str">
        <f ca="1">IFERROR(__xludf.DUMMYFUNCTION("QUERY(FullTable!A1:G44, ""SELECT * WHERE F contains 'Domestic' OR G contains 'Domestic'"", 0)"),"Joyce Stole")</f>
        <v>Joyce Stole</v>
      </c>
      <c r="B99" s="5">
        <f ca="1">IFERROR(__xludf.DUMMYFUNCTION("""COMPUTED_VALUE"""),49)</f>
        <v>49</v>
      </c>
      <c r="C99" s="5" t="str">
        <f ca="1">IFERROR(__xludf.DUMMYFUNCTION("""COMPUTED_VALUE"""),"Female")</f>
        <v>Female</v>
      </c>
      <c r="D99" s="5" t="str">
        <f ca="1">IFERROR(__xludf.DUMMYFUNCTION("""COMPUTED_VALUE""")," +27 0666892965")</f>
        <v xml:space="preserve"> +27 0666892965</v>
      </c>
      <c r="E99" s="5" t="str">
        <f ca="1">IFERROR(__xludf.DUMMYFUNCTION("""COMPUTED_VALUE"""),"Zulu")</f>
        <v>Zulu</v>
      </c>
      <c r="F99" s="5" t="str">
        <f ca="1">IFERROR(__xludf.DUMMYFUNCTION("""COMPUTED_VALUE"""),"Domestic")</f>
        <v>Domestic</v>
      </c>
      <c r="G99" s="5" t="str">
        <f ca="1">IFERROR(__xludf.DUMMYFUNCTION("""COMPUTED_VALUE"""),"None")</f>
        <v>None</v>
      </c>
    </row>
    <row r="100" spans="1:7" ht="22.5" customHeight="1" x14ac:dyDescent="0.2">
      <c r="A100" s="5" t="s">
        <v>224</v>
      </c>
      <c r="B100" s="5">
        <v>37</v>
      </c>
      <c r="C100" s="5" t="s">
        <v>64</v>
      </c>
      <c r="D100" s="22" t="s">
        <v>227</v>
      </c>
      <c r="E100" s="5" t="s">
        <v>38</v>
      </c>
      <c r="F100" s="5" t="s">
        <v>14</v>
      </c>
      <c r="G100" s="5" t="s">
        <v>228</v>
      </c>
    </row>
    <row r="102" spans="1:7" ht="25.5" x14ac:dyDescent="0.35">
      <c r="D102" s="12" t="s">
        <v>220</v>
      </c>
    </row>
    <row r="103" spans="1:7" ht="22.5" customHeight="1" x14ac:dyDescent="0.2">
      <c r="A103" s="4" t="s">
        <v>1</v>
      </c>
      <c r="B103" s="4" t="s">
        <v>2</v>
      </c>
      <c r="C103" s="4" t="s">
        <v>3</v>
      </c>
      <c r="D103" s="4" t="s">
        <v>4</v>
      </c>
      <c r="E103" s="4" t="s">
        <v>5</v>
      </c>
      <c r="F103" s="4" t="s">
        <v>6</v>
      </c>
      <c r="G103" s="4" t="s">
        <v>7</v>
      </c>
    </row>
    <row r="104" spans="1:7" ht="22.5" customHeight="1" x14ac:dyDescent="0.2">
      <c r="A104" s="20" t="str">
        <f ca="1">IFERROR(__xludf.DUMMYFUNCTION("QUERY(FullTable!A1:G44, ""SELECT * WHERE F contains 'Rig' OR G contains 'Rig'"", 0)"),"Joseph Ngwenya")</f>
        <v>Joseph Ngwenya</v>
      </c>
      <c r="B104" s="5">
        <f ca="1">IFERROR(__xludf.DUMMYFUNCTION("""COMPUTED_VALUE"""),49)</f>
        <v>49</v>
      </c>
      <c r="C104" s="5" t="str">
        <f ca="1">IFERROR(__xludf.DUMMYFUNCTION("""COMPUTED_VALUE"""),"Male")</f>
        <v>Male</v>
      </c>
      <c r="D104" s="5" t="str">
        <f ca="1">IFERROR(__xludf.DUMMYFUNCTION("""COMPUTED_VALUE""")," +27 0660137833/0840510638")</f>
        <v xml:space="preserve"> +27 0660137833/0840510638</v>
      </c>
      <c r="E104" s="5" t="str">
        <f ca="1">IFERROR(__xludf.DUMMYFUNCTION("""COMPUTED_VALUE"""),"English, Zulu")</f>
        <v>English, Zulu</v>
      </c>
      <c r="F104" s="5" t="str">
        <f ca="1">IFERROR(__xludf.DUMMYFUNCTION("""COMPUTED_VALUE"""),"Rigger")</f>
        <v>Rigger</v>
      </c>
      <c r="G104" s="5" t="str">
        <f ca="1">IFERROR(__xludf.DUMMYFUNCTION("""COMPUTED_VALUE"""),"Painter, Paving, 2006-2021 as a rigger Edwardo construction, Midco labour Hire")</f>
        <v>Painter, Paving, 2006-2021 as a rigger Edwardo construction, Midco labour Hire</v>
      </c>
    </row>
    <row r="105" spans="1:7" ht="22.5" customHeight="1" x14ac:dyDescent="0.2">
      <c r="A105" s="5" t="s">
        <v>217</v>
      </c>
      <c r="B105" s="5">
        <v>41</v>
      </c>
      <c r="C105" s="5" t="s">
        <v>21</v>
      </c>
      <c r="D105" s="21" t="s">
        <v>221</v>
      </c>
      <c r="E105" s="5" t="s">
        <v>222</v>
      </c>
      <c r="F105" s="5" t="s">
        <v>218</v>
      </c>
      <c r="G105" s="5" t="s">
        <v>223</v>
      </c>
    </row>
    <row r="107" spans="1:7" ht="25.5" x14ac:dyDescent="0.35">
      <c r="D107" s="13" t="s">
        <v>16</v>
      </c>
      <c r="E107" s="14"/>
    </row>
    <row r="108" spans="1:7" ht="22.5" customHeight="1" x14ac:dyDescent="0.2">
      <c r="A108" s="4" t="s">
        <v>1</v>
      </c>
      <c r="B108" s="4" t="s">
        <v>2</v>
      </c>
      <c r="C108" s="4" t="s">
        <v>3</v>
      </c>
      <c r="D108" s="4" t="s">
        <v>4</v>
      </c>
      <c r="E108" s="4" t="s">
        <v>5</v>
      </c>
      <c r="F108" s="4" t="s">
        <v>6</v>
      </c>
      <c r="G108" s="4" t="s">
        <v>7</v>
      </c>
    </row>
    <row r="109" spans="1:7" ht="22.5" customHeight="1" x14ac:dyDescent="0.2">
      <c r="A109" s="5" t="str">
        <f ca="1">IFERROR(__xludf.DUMMYFUNCTION("QUERY(FullTable!A1:G44, ""SELECT * WHERE F contains 'Merchan' OR G contains 'Merchan'"", 0)"),"Joseph Vusi Mokoena")</f>
        <v>Joseph Vusi Mokoena</v>
      </c>
      <c r="B109" s="5">
        <f ca="1">IFERROR(__xludf.DUMMYFUNCTION("""COMPUTED_VALUE"""),43)</f>
        <v>43</v>
      </c>
      <c r="C109" s="5" t="str">
        <f ca="1">IFERROR(__xludf.DUMMYFUNCTION("""COMPUTED_VALUE"""),"Male")</f>
        <v>Male</v>
      </c>
      <c r="D109" s="5" t="str">
        <f ca="1">IFERROR(__xludf.DUMMYFUNCTION("""COMPUTED_VALUE""")," +27 0606788931")</f>
        <v xml:space="preserve"> +27 0606788931</v>
      </c>
      <c r="E109" s="5" t="str">
        <f ca="1">IFERROR(__xludf.DUMMYFUNCTION("""COMPUTED_VALUE"""),"English, Zulu, Ndebele")</f>
        <v>English, Zulu, Ndebele</v>
      </c>
      <c r="F109" s="5" t="str">
        <f ca="1">IFERROR(__xludf.DUMMYFUNCTION("""COMPUTED_VALUE"""),"Any Merchandiser")</f>
        <v>Any Merchandiser</v>
      </c>
      <c r="G109" s="5" t="str">
        <f ca="1">IFERROR(__xludf.DUMMYFUNCTION("""COMPUTED_VALUE"""),"Has a mother, 2 sisters and 4 kids")</f>
        <v>Has a mother, 2 sisters and 4 kids</v>
      </c>
    </row>
    <row r="111" spans="1:7" ht="25.5" x14ac:dyDescent="0.35">
      <c r="D111" s="15" t="s">
        <v>17</v>
      </c>
    </row>
    <row r="112" spans="1:7" ht="22.5" customHeight="1" x14ac:dyDescent="0.2">
      <c r="A112" s="4" t="s">
        <v>1</v>
      </c>
      <c r="B112" s="4" t="s">
        <v>2</v>
      </c>
      <c r="C112" s="4" t="s">
        <v>3</v>
      </c>
      <c r="D112" s="4" t="s">
        <v>4</v>
      </c>
      <c r="E112" s="4" t="s">
        <v>5</v>
      </c>
      <c r="F112" s="4" t="s">
        <v>6</v>
      </c>
      <c r="G112" s="4" t="s">
        <v>7</v>
      </c>
    </row>
    <row r="113" spans="1:7" ht="22.5" customHeight="1" x14ac:dyDescent="0.2">
      <c r="A113" s="5" t="str">
        <f ca="1">IFERROR(__xludf.DUMMYFUNCTION("QUERY(FullTable!A1:G44, ""SELECT * WHERE F contains 'Assist' OR G contains 'Assist'"", 0)"),"Bheki Benedict Ndimanda")</f>
        <v>Bheki Benedict Ndimanda</v>
      </c>
      <c r="B113" s="5">
        <f ca="1">IFERROR(__xludf.DUMMYFUNCTION("""COMPUTED_VALUE"""),41)</f>
        <v>41</v>
      </c>
      <c r="C113" s="5" t="str">
        <f ca="1">IFERROR(__xludf.DUMMYFUNCTION("""COMPUTED_VALUE"""),"Male")</f>
        <v>Male</v>
      </c>
      <c r="D113" s="5" t="str">
        <f ca="1">IFERROR(__xludf.DUMMYFUNCTION("""COMPUTED_VALUE""")," +27 0799982855")</f>
        <v xml:space="preserve"> +27 0799982855</v>
      </c>
      <c r="E113" s="5" t="str">
        <f ca="1">IFERROR(__xludf.DUMMYFUNCTION("""COMPUTED_VALUE"""),"Zulu")</f>
        <v>Zulu</v>
      </c>
      <c r="F113" s="5" t="str">
        <f ca="1">IFERROR(__xludf.DUMMYFUNCTION("""COMPUTED_VALUE"""),"Security Officer")</f>
        <v>Security Officer</v>
      </c>
      <c r="G113" s="5" t="str">
        <f ca="1">IFERROR(__xludf.DUMMYFUNCTION("""COMPUTED_VALUE"""),"Grade A CIT handgun competence, Assistant Mechanic for more than 8 years")</f>
        <v>Grade A CIT handgun competence, Assistant Mechanic for more than 8 years</v>
      </c>
    </row>
    <row r="114" spans="1:7" ht="22.5" customHeight="1" x14ac:dyDescent="0.2">
      <c r="A114" s="5" t="str">
        <f ca="1">IFERROR(__xludf.DUMMYFUNCTION("""COMPUTED_VALUE"""),"Cesious Selala")</f>
        <v>Cesious Selala</v>
      </c>
      <c r="B114" s="5">
        <f ca="1">IFERROR(__xludf.DUMMYFUNCTION("""COMPUTED_VALUE"""),28)</f>
        <v>28</v>
      </c>
      <c r="C114" s="5" t="str">
        <f ca="1">IFERROR(__xludf.DUMMYFUNCTION("""COMPUTED_VALUE"""),"Male")</f>
        <v>Male</v>
      </c>
      <c r="D114" s="5" t="str">
        <f ca="1">IFERROR(__xludf.DUMMYFUNCTION("""COMPUTED_VALUE""")," +27 0609478289")</f>
        <v xml:space="preserve"> +27 0609478289</v>
      </c>
      <c r="E114" s="5" t="str">
        <f ca="1">IFERROR(__xludf.DUMMYFUNCTION("""COMPUTED_VALUE"""),"Sepedi")</f>
        <v>Sepedi</v>
      </c>
      <c r="F114" s="5" t="str">
        <f ca="1">IFERROR(__xludf.DUMMYFUNCTION("""COMPUTED_VALUE"""),"Mechanical Assistant")</f>
        <v>Mechanical Assistant</v>
      </c>
      <c r="G114" s="5" t="str">
        <f ca="1">IFERROR(__xludf.DUMMYFUNCTION("""COMPUTED_VALUE"""),"Hard worker, Working under pressure, Working overtime, Well communication")</f>
        <v>Hard worker, Working under pressure, Working overtime, Well communication</v>
      </c>
    </row>
    <row r="115" spans="1:7" ht="22.5" customHeight="1" x14ac:dyDescent="0.2">
      <c r="A115" s="5" t="str">
        <f ca="1">IFERROR(__xludf.DUMMYFUNCTION("""COMPUTED_VALUE"""),"Jeffrey Maroga")</f>
        <v>Jeffrey Maroga</v>
      </c>
      <c r="B115" s="5">
        <f ca="1">IFERROR(__xludf.DUMMYFUNCTION("""COMPUTED_VALUE"""),46)</f>
        <v>46</v>
      </c>
      <c r="C115" s="5" t="str">
        <f ca="1">IFERROR(__xludf.DUMMYFUNCTION("""COMPUTED_VALUE"""),"Male")</f>
        <v>Male</v>
      </c>
      <c r="D115" s="5" t="str">
        <f ca="1">IFERROR(__xludf.DUMMYFUNCTION("""COMPUTED_VALUE""")," +27 0765705904/0737096723")</f>
        <v xml:space="preserve"> +27 0765705904/0737096723</v>
      </c>
      <c r="E115" s="5" t="str">
        <f ca="1">IFERROR(__xludf.DUMMYFUNCTION("""COMPUTED_VALUE"""),"North Sepedi, English")</f>
        <v>North Sepedi, English</v>
      </c>
      <c r="F115" s="5" t="str">
        <f ca="1">IFERROR(__xludf.DUMMYFUNCTION("""COMPUTED_VALUE"""),"Driver")</f>
        <v>Driver</v>
      </c>
      <c r="G115" s="5" t="str">
        <f ca="1">IFERROR(__xludf.DUMMYFUNCTION("""COMPUTED_VALUE"""),"10 ton PDP, 8 years experience driving, Assist Machine, Forklift Driver, Excavator Operator")</f>
        <v>10 ton PDP, 8 years experience driving, Assist Machine, Forklift Driver, Excavator Operator</v>
      </c>
    </row>
    <row r="116" spans="1:7" ht="22.5" customHeight="1" x14ac:dyDescent="0.2">
      <c r="A116" s="5" t="str">
        <f ca="1">IFERROR(__xludf.DUMMYFUNCTION("""COMPUTED_VALUE"""),"Jostice Muzi Hcatshwalo")</f>
        <v>Jostice Muzi Hcatshwalo</v>
      </c>
      <c r="B116" s="5">
        <f ca="1">IFERROR(__xludf.DUMMYFUNCTION("""COMPUTED_VALUE"""),45)</f>
        <v>45</v>
      </c>
      <c r="C116" s="5" t="str">
        <f ca="1">IFERROR(__xludf.DUMMYFUNCTION("""COMPUTED_VALUE"""),"Male")</f>
        <v>Male</v>
      </c>
      <c r="D116" s="5" t="str">
        <f ca="1">IFERROR(__xludf.DUMMYFUNCTION("""COMPUTED_VALUE""")," +27 0726125565")</f>
        <v xml:space="preserve"> +27 0726125565</v>
      </c>
      <c r="E116" s="5" t="str">
        <f ca="1">IFERROR(__xludf.DUMMYFUNCTION("""COMPUTED_VALUE"""),"English")</f>
        <v>English</v>
      </c>
      <c r="F116" s="5" t="str">
        <f ca="1">IFERROR(__xludf.DUMMYFUNCTION("""COMPUTED_VALUE"""),"Assistant")</f>
        <v>Assistant</v>
      </c>
      <c r="G116" s="5" t="str">
        <f ca="1">IFERROR(__xludf.DUMMYFUNCTION("""COMPUTED_VALUE"""),"Scaffold charge hand. Boilermaker semi-skilled for almost 5 months at Stainmdlev. General work")</f>
        <v>Scaffold charge hand. Boilermaker semi-skilled for almost 5 months at Stainmdlev. General work</v>
      </c>
    </row>
  </sheetData>
  <printOptions horizontalCentered="1" gridLines="1"/>
  <pageMargins left="0.7" right="0.7" top="0.75" bottom="0.75" header="0" footer="0"/>
  <pageSetup fitToHeight="0" pageOrder="overThenDown" orientation="landscape" cellComments="atEnd"/>
  <tableParts count="12">
    <tablePart r:id="rId1"/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G73"/>
  <sheetViews>
    <sheetView tabSelected="1" workbookViewId="0">
      <pane ySplit="1" topLeftCell="A63" activePane="bottomLeft" state="frozen"/>
      <selection pane="bottomLeft" activeCell="E75" sqref="E75"/>
    </sheetView>
  </sheetViews>
  <sheetFormatPr defaultColWidth="12.5703125" defaultRowHeight="15.75" customHeight="1" x14ac:dyDescent="0.2"/>
  <cols>
    <col min="1" max="1" width="23" customWidth="1"/>
    <col min="2" max="2" width="11.5703125" customWidth="1"/>
    <col min="3" max="3" width="17" customWidth="1"/>
    <col min="4" max="4" width="13" customWidth="1"/>
    <col min="5" max="5" width="37.42578125" customWidth="1"/>
    <col min="6" max="6" width="20.42578125" customWidth="1"/>
    <col min="7" max="7" width="42.7109375" customWidth="1"/>
  </cols>
  <sheetData>
    <row r="1" spans="1:7" ht="22.5" customHeight="1" x14ac:dyDescent="0.2">
      <c r="A1" s="16" t="s">
        <v>18</v>
      </c>
      <c r="B1" s="16" t="s">
        <v>2</v>
      </c>
      <c r="C1" s="16" t="s">
        <v>3</v>
      </c>
      <c r="D1" s="16" t="s">
        <v>19</v>
      </c>
      <c r="E1" s="16" t="s">
        <v>5</v>
      </c>
      <c r="F1" s="16" t="s">
        <v>6</v>
      </c>
      <c r="G1" s="16" t="s">
        <v>7</v>
      </c>
    </row>
    <row r="2" spans="1:7" ht="22.5" customHeight="1" x14ac:dyDescent="0.2">
      <c r="A2" s="16" t="s">
        <v>267</v>
      </c>
      <c r="B2" s="16">
        <v>43</v>
      </c>
      <c r="C2" s="16" t="s">
        <v>21</v>
      </c>
      <c r="D2" s="26" t="s">
        <v>268</v>
      </c>
      <c r="E2" s="16" t="s">
        <v>38</v>
      </c>
      <c r="F2" s="16" t="s">
        <v>55</v>
      </c>
      <c r="G2" s="16"/>
    </row>
    <row r="3" spans="1:7" ht="22.5" customHeight="1" x14ac:dyDescent="0.2">
      <c r="A3" s="17" t="s">
        <v>20</v>
      </c>
      <c r="B3" s="5">
        <v>44</v>
      </c>
      <c r="C3" s="5" t="s">
        <v>21</v>
      </c>
      <c r="D3" s="18" t="s">
        <v>22</v>
      </c>
      <c r="E3" s="5" t="s">
        <v>23</v>
      </c>
      <c r="F3" s="17" t="s">
        <v>24</v>
      </c>
      <c r="G3" s="19" t="s">
        <v>25</v>
      </c>
    </row>
    <row r="4" spans="1:7" ht="22.5" customHeight="1" x14ac:dyDescent="0.2">
      <c r="A4" s="17" t="s">
        <v>236</v>
      </c>
      <c r="B4" s="5">
        <v>53</v>
      </c>
      <c r="C4" s="5" t="s">
        <v>21</v>
      </c>
      <c r="D4" s="18">
        <v>270799414280</v>
      </c>
      <c r="E4" s="5" t="s">
        <v>38</v>
      </c>
      <c r="F4" s="17" t="s">
        <v>9</v>
      </c>
      <c r="G4" s="19" t="s">
        <v>0</v>
      </c>
    </row>
    <row r="5" spans="1:7" ht="22.5" customHeight="1" x14ac:dyDescent="0.2">
      <c r="A5" s="17" t="s">
        <v>26</v>
      </c>
      <c r="B5" s="5">
        <v>37</v>
      </c>
      <c r="C5" s="5" t="s">
        <v>21</v>
      </c>
      <c r="D5" s="18" t="s">
        <v>27</v>
      </c>
      <c r="E5" s="5" t="s">
        <v>28</v>
      </c>
      <c r="F5" s="17" t="s">
        <v>29</v>
      </c>
      <c r="G5" s="19" t="s">
        <v>30</v>
      </c>
    </row>
    <row r="6" spans="1:7" ht="22.5" customHeight="1" x14ac:dyDescent="0.2">
      <c r="A6" s="17" t="s">
        <v>31</v>
      </c>
      <c r="B6" s="5">
        <v>47</v>
      </c>
      <c r="C6" s="5" t="s">
        <v>21</v>
      </c>
      <c r="D6" s="18" t="s">
        <v>32</v>
      </c>
      <c r="E6" s="5" t="s">
        <v>33</v>
      </c>
      <c r="F6" s="17" t="s">
        <v>34</v>
      </c>
      <c r="G6" s="19" t="s">
        <v>35</v>
      </c>
    </row>
    <row r="7" spans="1:7" ht="22.5" customHeight="1" x14ac:dyDescent="0.2">
      <c r="A7" s="17" t="s">
        <v>36</v>
      </c>
      <c r="B7" s="5">
        <v>41</v>
      </c>
      <c r="C7" s="5" t="s">
        <v>21</v>
      </c>
      <c r="D7" s="18" t="s">
        <v>37</v>
      </c>
      <c r="E7" s="5" t="s">
        <v>38</v>
      </c>
      <c r="F7" s="17" t="s">
        <v>34</v>
      </c>
      <c r="G7" s="19" t="s">
        <v>39</v>
      </c>
    </row>
    <row r="8" spans="1:7" ht="22.5" customHeight="1" x14ac:dyDescent="0.2">
      <c r="A8" s="17" t="s">
        <v>238</v>
      </c>
      <c r="B8" s="22">
        <v>29</v>
      </c>
      <c r="C8" s="5" t="s">
        <v>21</v>
      </c>
      <c r="D8" s="18">
        <v>270828179386</v>
      </c>
      <c r="E8" s="5" t="s">
        <v>132</v>
      </c>
      <c r="F8" s="17" t="s">
        <v>9</v>
      </c>
      <c r="G8" s="19"/>
    </row>
    <row r="9" spans="1:7" ht="22.5" customHeight="1" x14ac:dyDescent="0.2">
      <c r="A9" s="17" t="s">
        <v>40</v>
      </c>
      <c r="B9" s="5">
        <v>37</v>
      </c>
      <c r="C9" s="5" t="s">
        <v>21</v>
      </c>
      <c r="D9" s="18" t="s">
        <v>41</v>
      </c>
      <c r="E9" s="5" t="s">
        <v>23</v>
      </c>
      <c r="F9" s="17" t="s">
        <v>42</v>
      </c>
      <c r="G9" s="19" t="s">
        <v>43</v>
      </c>
    </row>
    <row r="10" spans="1:7" ht="22.5" customHeight="1" x14ac:dyDescent="0.2">
      <c r="A10" s="17" t="s">
        <v>44</v>
      </c>
      <c r="B10" s="5">
        <v>28</v>
      </c>
      <c r="C10" s="5" t="s">
        <v>21</v>
      </c>
      <c r="D10" s="18" t="s">
        <v>45</v>
      </c>
      <c r="E10" s="5" t="s">
        <v>46</v>
      </c>
      <c r="F10" s="17" t="s">
        <v>47</v>
      </c>
      <c r="G10" s="19" t="s">
        <v>48</v>
      </c>
    </row>
    <row r="11" spans="1:7" ht="22.5" customHeight="1" x14ac:dyDescent="0.2">
      <c r="A11" s="17" t="s">
        <v>49</v>
      </c>
      <c r="B11" s="5">
        <v>49</v>
      </c>
      <c r="C11" s="5" t="s">
        <v>21</v>
      </c>
      <c r="D11" s="18" t="s">
        <v>50</v>
      </c>
      <c r="E11" s="5" t="s">
        <v>265</v>
      </c>
      <c r="F11" s="17" t="s">
        <v>51</v>
      </c>
      <c r="G11" s="19" t="s">
        <v>269</v>
      </c>
    </row>
    <row r="12" spans="1:7" ht="22.5" customHeight="1" x14ac:dyDescent="0.2">
      <c r="A12" s="17" t="s">
        <v>52</v>
      </c>
      <c r="B12" s="5">
        <v>45</v>
      </c>
      <c r="C12" s="5" t="s">
        <v>21</v>
      </c>
      <c r="D12" s="18" t="s">
        <v>53</v>
      </c>
      <c r="E12" s="5" t="s">
        <v>270</v>
      </c>
      <c r="F12" s="17" t="s">
        <v>0</v>
      </c>
      <c r="G12" s="19" t="s">
        <v>55</v>
      </c>
    </row>
    <row r="13" spans="1:7" ht="22.5" customHeight="1" x14ac:dyDescent="0.2">
      <c r="A13" s="17" t="s">
        <v>56</v>
      </c>
      <c r="B13" s="5">
        <v>41</v>
      </c>
      <c r="C13" s="5" t="s">
        <v>21</v>
      </c>
      <c r="D13" s="18" t="s">
        <v>57</v>
      </c>
      <c r="E13" s="5" t="s">
        <v>128</v>
      </c>
      <c r="F13" s="17" t="s">
        <v>34</v>
      </c>
      <c r="G13" s="19" t="s">
        <v>271</v>
      </c>
    </row>
    <row r="14" spans="1:7" ht="22.5" customHeight="1" x14ac:dyDescent="0.2">
      <c r="A14" s="17" t="s">
        <v>59</v>
      </c>
      <c r="B14" s="5">
        <v>53</v>
      </c>
      <c r="C14" s="5" t="s">
        <v>21</v>
      </c>
      <c r="D14" s="18" t="s">
        <v>60</v>
      </c>
      <c r="E14" s="5" t="s">
        <v>23</v>
      </c>
      <c r="F14" s="17" t="s">
        <v>61</v>
      </c>
      <c r="G14" s="19" t="s">
        <v>62</v>
      </c>
    </row>
    <row r="15" spans="1:7" ht="22.5" customHeight="1" x14ac:dyDescent="0.2">
      <c r="A15" s="17" t="s">
        <v>63</v>
      </c>
      <c r="B15" s="5">
        <v>49</v>
      </c>
      <c r="C15" s="5" t="s">
        <v>64</v>
      </c>
      <c r="D15" s="18" t="s">
        <v>65</v>
      </c>
      <c r="E15" s="5" t="s">
        <v>23</v>
      </c>
      <c r="F15" s="17" t="s">
        <v>12</v>
      </c>
      <c r="G15" s="19" t="s">
        <v>66</v>
      </c>
    </row>
    <row r="16" spans="1:7" ht="22.5" customHeight="1" x14ac:dyDescent="0.2">
      <c r="A16" s="17" t="s">
        <v>67</v>
      </c>
      <c r="B16" s="5">
        <v>54</v>
      </c>
      <c r="C16" s="5" t="s">
        <v>21</v>
      </c>
      <c r="D16" s="18" t="s">
        <v>68</v>
      </c>
      <c r="E16" s="5" t="s">
        <v>33</v>
      </c>
      <c r="F16" s="17" t="s">
        <v>9</v>
      </c>
      <c r="G16" s="19" t="s">
        <v>10</v>
      </c>
    </row>
    <row r="17" spans="1:7" ht="22.5" customHeight="1" x14ac:dyDescent="0.2">
      <c r="A17" s="17" t="s">
        <v>244</v>
      </c>
      <c r="B17" s="5">
        <v>23</v>
      </c>
      <c r="C17" s="5" t="s">
        <v>21</v>
      </c>
      <c r="D17" s="18">
        <v>270637402137</v>
      </c>
      <c r="E17" s="5" t="s">
        <v>38</v>
      </c>
      <c r="F17" s="17" t="s">
        <v>241</v>
      </c>
      <c r="G17" s="19"/>
    </row>
    <row r="18" spans="1:7" ht="22.5" customHeight="1" x14ac:dyDescent="0.2">
      <c r="A18" s="17" t="s">
        <v>69</v>
      </c>
      <c r="B18" s="5">
        <v>44</v>
      </c>
      <c r="C18" s="5" t="s">
        <v>21</v>
      </c>
      <c r="D18" s="18" t="s">
        <v>70</v>
      </c>
      <c r="E18" s="5" t="s">
        <v>128</v>
      </c>
      <c r="F18" s="17" t="s">
        <v>71</v>
      </c>
      <c r="G18" s="19" t="s">
        <v>272</v>
      </c>
    </row>
    <row r="19" spans="1:7" ht="22.5" customHeight="1" x14ac:dyDescent="0.2">
      <c r="A19" s="17" t="s">
        <v>72</v>
      </c>
      <c r="B19" s="5">
        <v>28</v>
      </c>
      <c r="C19" s="5" t="s">
        <v>21</v>
      </c>
      <c r="D19" s="18" t="s">
        <v>73</v>
      </c>
      <c r="E19" s="5" t="s">
        <v>74</v>
      </c>
      <c r="F19" s="17" t="s">
        <v>8</v>
      </c>
      <c r="G19" s="19" t="s">
        <v>75</v>
      </c>
    </row>
    <row r="20" spans="1:7" ht="22.5" customHeight="1" x14ac:dyDescent="0.2">
      <c r="A20" s="17" t="s">
        <v>252</v>
      </c>
      <c r="B20" s="5">
        <v>52</v>
      </c>
      <c r="C20" s="5" t="s">
        <v>21</v>
      </c>
      <c r="D20" s="25" t="s">
        <v>253</v>
      </c>
      <c r="E20" s="5" t="s">
        <v>254</v>
      </c>
      <c r="F20" s="17" t="s">
        <v>34</v>
      </c>
      <c r="G20" s="19" t="s">
        <v>255</v>
      </c>
    </row>
    <row r="21" spans="1:7" ht="22.5" customHeight="1" x14ac:dyDescent="0.2">
      <c r="A21" s="17" t="s">
        <v>76</v>
      </c>
      <c r="B21" s="5">
        <v>48</v>
      </c>
      <c r="C21" s="5" t="s">
        <v>21</v>
      </c>
      <c r="D21" s="18" t="s">
        <v>77</v>
      </c>
      <c r="E21" s="5" t="s">
        <v>273</v>
      </c>
      <c r="F21" s="17" t="s">
        <v>78</v>
      </c>
      <c r="G21" s="19" t="s">
        <v>274</v>
      </c>
    </row>
    <row r="22" spans="1:7" ht="22.5" customHeight="1" x14ac:dyDescent="0.2">
      <c r="A22" s="17" t="s">
        <v>79</v>
      </c>
      <c r="B22" s="5">
        <v>48</v>
      </c>
      <c r="C22" s="5" t="s">
        <v>21</v>
      </c>
      <c r="D22" s="18" t="s">
        <v>80</v>
      </c>
      <c r="E22" s="5" t="s">
        <v>275</v>
      </c>
      <c r="F22" s="17" t="s">
        <v>81</v>
      </c>
      <c r="G22" s="19" t="s">
        <v>82</v>
      </c>
    </row>
    <row r="23" spans="1:7" ht="22.5" customHeight="1" x14ac:dyDescent="0.2">
      <c r="A23" s="17" t="s">
        <v>83</v>
      </c>
      <c r="B23" s="5">
        <v>52</v>
      </c>
      <c r="C23" s="5" t="s">
        <v>21</v>
      </c>
      <c r="D23" s="18" t="s">
        <v>84</v>
      </c>
      <c r="E23" s="5" t="s">
        <v>85</v>
      </c>
      <c r="F23" s="17" t="s">
        <v>51</v>
      </c>
      <c r="G23" s="19" t="s">
        <v>86</v>
      </c>
    </row>
    <row r="24" spans="1:7" ht="22.5" customHeight="1" x14ac:dyDescent="0.2">
      <c r="A24" s="17" t="s">
        <v>87</v>
      </c>
      <c r="B24" s="5">
        <v>59</v>
      </c>
      <c r="C24" s="5" t="s">
        <v>21</v>
      </c>
      <c r="D24" s="18" t="s">
        <v>88</v>
      </c>
      <c r="E24" s="5" t="s">
        <v>46</v>
      </c>
      <c r="F24" s="17" t="s">
        <v>89</v>
      </c>
      <c r="G24" s="19" t="s">
        <v>90</v>
      </c>
    </row>
    <row r="25" spans="1:7" ht="22.5" customHeight="1" x14ac:dyDescent="0.2">
      <c r="A25" s="17" t="s">
        <v>229</v>
      </c>
      <c r="B25" s="5">
        <v>33</v>
      </c>
      <c r="C25" s="5" t="s">
        <v>21</v>
      </c>
      <c r="D25" s="18">
        <v>270727823614</v>
      </c>
      <c r="E25" s="5" t="s">
        <v>28</v>
      </c>
      <c r="F25" s="17" t="s">
        <v>230</v>
      </c>
      <c r="G25" s="19" t="s">
        <v>231</v>
      </c>
    </row>
    <row r="26" spans="1:7" ht="22.5" customHeight="1" x14ac:dyDescent="0.2">
      <c r="A26" s="17" t="s">
        <v>91</v>
      </c>
      <c r="B26" s="5">
        <v>31</v>
      </c>
      <c r="C26" s="5" t="s">
        <v>21</v>
      </c>
      <c r="D26" s="18" t="s">
        <v>92</v>
      </c>
      <c r="E26" s="5" t="s">
        <v>128</v>
      </c>
      <c r="F26" s="17" t="s">
        <v>93</v>
      </c>
      <c r="G26" s="19" t="s">
        <v>276</v>
      </c>
    </row>
    <row r="27" spans="1:7" ht="22.5" customHeight="1" x14ac:dyDescent="0.2">
      <c r="A27" s="17" t="s">
        <v>94</v>
      </c>
      <c r="B27" s="5">
        <v>51</v>
      </c>
      <c r="C27" s="5" t="s">
        <v>21</v>
      </c>
      <c r="D27" s="18" t="s">
        <v>95</v>
      </c>
      <c r="E27" s="5" t="s">
        <v>96</v>
      </c>
      <c r="F27" s="17" t="s">
        <v>10</v>
      </c>
      <c r="G27" s="19" t="s">
        <v>9</v>
      </c>
    </row>
    <row r="28" spans="1:7" ht="22.5" customHeight="1" x14ac:dyDescent="0.2">
      <c r="A28" s="17" t="s">
        <v>97</v>
      </c>
      <c r="B28" s="5">
        <v>53</v>
      </c>
      <c r="C28" s="5" t="s">
        <v>21</v>
      </c>
      <c r="D28" s="18" t="s">
        <v>92</v>
      </c>
      <c r="E28" s="5" t="s">
        <v>38</v>
      </c>
      <c r="F28" s="17" t="s">
        <v>10</v>
      </c>
      <c r="G28" s="19" t="s">
        <v>277</v>
      </c>
    </row>
    <row r="29" spans="1:7" ht="22.5" customHeight="1" x14ac:dyDescent="0.2">
      <c r="A29" s="17" t="s">
        <v>98</v>
      </c>
      <c r="B29" s="5">
        <v>52</v>
      </c>
      <c r="C29" s="5" t="s">
        <v>21</v>
      </c>
      <c r="D29" s="18" t="s">
        <v>99</v>
      </c>
      <c r="E29" s="5" t="s">
        <v>100</v>
      </c>
      <c r="F29" s="17" t="s">
        <v>0</v>
      </c>
      <c r="G29" s="19" t="s">
        <v>101</v>
      </c>
    </row>
    <row r="30" spans="1:7" ht="22.5" customHeight="1" x14ac:dyDescent="0.2">
      <c r="A30" s="17" t="s">
        <v>102</v>
      </c>
      <c r="B30" s="5">
        <v>46</v>
      </c>
      <c r="C30" s="5" t="s">
        <v>21</v>
      </c>
      <c r="D30" s="18" t="s">
        <v>103</v>
      </c>
      <c r="E30" s="5" t="s">
        <v>278</v>
      </c>
      <c r="F30" s="17" t="s">
        <v>104</v>
      </c>
      <c r="G30" s="19" t="s">
        <v>105</v>
      </c>
    </row>
    <row r="31" spans="1:7" ht="22.5" customHeight="1" x14ac:dyDescent="0.2">
      <c r="A31" s="17" t="s">
        <v>106</v>
      </c>
      <c r="B31" s="5">
        <v>60</v>
      </c>
      <c r="C31" s="17" t="s">
        <v>21</v>
      </c>
      <c r="D31" s="18" t="s">
        <v>107</v>
      </c>
      <c r="E31" s="5" t="s">
        <v>108</v>
      </c>
      <c r="F31" s="17" t="s">
        <v>55</v>
      </c>
      <c r="G31" s="19" t="s">
        <v>109</v>
      </c>
    </row>
    <row r="32" spans="1:7" ht="22.5" customHeight="1" x14ac:dyDescent="0.2">
      <c r="A32" s="17" t="s">
        <v>110</v>
      </c>
      <c r="B32" s="5">
        <v>55</v>
      </c>
      <c r="C32" s="5" t="s">
        <v>21</v>
      </c>
      <c r="D32" s="18" t="s">
        <v>111</v>
      </c>
      <c r="E32" s="5" t="s">
        <v>46</v>
      </c>
      <c r="F32" s="17" t="s">
        <v>0</v>
      </c>
      <c r="G32" s="19" t="s">
        <v>113</v>
      </c>
    </row>
    <row r="33" spans="1:7" ht="22.5" customHeight="1" x14ac:dyDescent="0.2">
      <c r="A33" s="17" t="s">
        <v>114</v>
      </c>
      <c r="B33" s="5">
        <v>32</v>
      </c>
      <c r="C33" s="5" t="s">
        <v>21</v>
      </c>
      <c r="D33" s="18" t="s">
        <v>115</v>
      </c>
      <c r="E33" s="5" t="s">
        <v>46</v>
      </c>
      <c r="F33" s="17" t="s">
        <v>0</v>
      </c>
      <c r="G33" s="19" t="s">
        <v>109</v>
      </c>
    </row>
    <row r="34" spans="1:7" ht="22.5" customHeight="1" x14ac:dyDescent="0.2">
      <c r="A34" s="17" t="s">
        <v>116</v>
      </c>
      <c r="B34" s="5">
        <v>52</v>
      </c>
      <c r="C34" s="5" t="s">
        <v>21</v>
      </c>
      <c r="D34" s="18" t="s">
        <v>117</v>
      </c>
      <c r="E34" s="5" t="s">
        <v>38</v>
      </c>
      <c r="F34" s="17" t="s">
        <v>118</v>
      </c>
      <c r="G34" s="19" t="s">
        <v>119</v>
      </c>
    </row>
    <row r="35" spans="1:7" ht="22.5" customHeight="1" x14ac:dyDescent="0.2">
      <c r="A35" s="17" t="s">
        <v>120</v>
      </c>
      <c r="B35" s="5">
        <v>37</v>
      </c>
      <c r="C35" s="5" t="s">
        <v>21</v>
      </c>
      <c r="D35" s="18" t="s">
        <v>121</v>
      </c>
      <c r="E35" s="5" t="s">
        <v>23</v>
      </c>
      <c r="F35" s="17" t="s">
        <v>55</v>
      </c>
      <c r="G35" s="19" t="s">
        <v>109</v>
      </c>
    </row>
    <row r="36" spans="1:7" ht="22.5" customHeight="1" x14ac:dyDescent="0.2">
      <c r="A36" s="17" t="s">
        <v>122</v>
      </c>
      <c r="B36" s="5">
        <v>39</v>
      </c>
      <c r="C36" s="5" t="s">
        <v>21</v>
      </c>
      <c r="D36" s="18" t="s">
        <v>123</v>
      </c>
      <c r="E36" s="5" t="s">
        <v>38</v>
      </c>
      <c r="F36" s="17" t="s">
        <v>51</v>
      </c>
      <c r="G36" s="19" t="s">
        <v>109</v>
      </c>
    </row>
    <row r="37" spans="1:7" ht="22.5" customHeight="1" x14ac:dyDescent="0.2">
      <c r="A37" s="17" t="s">
        <v>124</v>
      </c>
      <c r="B37" s="5">
        <v>30</v>
      </c>
      <c r="C37" s="5" t="s">
        <v>21</v>
      </c>
      <c r="D37" s="18" t="s">
        <v>125</v>
      </c>
      <c r="E37" s="5" t="s">
        <v>23</v>
      </c>
      <c r="F37" s="17" t="s">
        <v>55</v>
      </c>
      <c r="G37" s="19" t="s">
        <v>109</v>
      </c>
    </row>
    <row r="38" spans="1:7" ht="22.5" customHeight="1" x14ac:dyDescent="0.2">
      <c r="A38" s="17" t="s">
        <v>126</v>
      </c>
      <c r="B38" s="5">
        <v>49</v>
      </c>
      <c r="C38" s="5" t="s">
        <v>21</v>
      </c>
      <c r="D38" s="18" t="s">
        <v>127</v>
      </c>
      <c r="E38" s="5" t="s">
        <v>128</v>
      </c>
      <c r="F38" s="17" t="s">
        <v>15</v>
      </c>
      <c r="G38" s="19" t="s">
        <v>129</v>
      </c>
    </row>
    <row r="39" spans="1:7" ht="22.5" customHeight="1" x14ac:dyDescent="0.2">
      <c r="A39" s="17" t="s">
        <v>130</v>
      </c>
      <c r="B39" s="5">
        <v>43</v>
      </c>
      <c r="C39" s="17" t="s">
        <v>21</v>
      </c>
      <c r="D39" s="18" t="s">
        <v>131</v>
      </c>
      <c r="E39" s="5" t="s">
        <v>132</v>
      </c>
      <c r="F39" s="17" t="s">
        <v>133</v>
      </c>
      <c r="G39" s="19" t="s">
        <v>134</v>
      </c>
    </row>
    <row r="40" spans="1:7" ht="22.5" customHeight="1" x14ac:dyDescent="0.2">
      <c r="A40" s="17" t="s">
        <v>135</v>
      </c>
      <c r="B40" s="5">
        <v>45</v>
      </c>
      <c r="C40" s="5" t="s">
        <v>21</v>
      </c>
      <c r="D40" s="18" t="s">
        <v>136</v>
      </c>
      <c r="E40" s="5" t="s">
        <v>23</v>
      </c>
      <c r="F40" s="17" t="s">
        <v>137</v>
      </c>
      <c r="G40" s="19" t="s">
        <v>279</v>
      </c>
    </row>
    <row r="41" spans="1:7" ht="22.5" customHeight="1" x14ac:dyDescent="0.2">
      <c r="A41" s="17" t="s">
        <v>138</v>
      </c>
      <c r="B41" s="5">
        <v>49</v>
      </c>
      <c r="C41" s="5" t="s">
        <v>64</v>
      </c>
      <c r="D41" s="18" t="s">
        <v>139</v>
      </c>
      <c r="E41" s="5" t="s">
        <v>38</v>
      </c>
      <c r="F41" s="17" t="s">
        <v>14</v>
      </c>
      <c r="G41" s="19" t="s">
        <v>109</v>
      </c>
    </row>
    <row r="42" spans="1:7" ht="22.5" customHeight="1" x14ac:dyDescent="0.2">
      <c r="A42" s="17" t="s">
        <v>140</v>
      </c>
      <c r="B42" s="5">
        <v>35</v>
      </c>
      <c r="C42" s="5" t="s">
        <v>21</v>
      </c>
      <c r="D42" s="18" t="s">
        <v>141</v>
      </c>
      <c r="E42" s="5" t="s">
        <v>33</v>
      </c>
      <c r="F42" s="17" t="s">
        <v>51</v>
      </c>
      <c r="G42" s="19" t="s">
        <v>142</v>
      </c>
    </row>
    <row r="43" spans="1:7" ht="22.5" customHeight="1" x14ac:dyDescent="0.2">
      <c r="A43" s="17" t="s">
        <v>143</v>
      </c>
      <c r="B43" s="5">
        <v>37</v>
      </c>
      <c r="C43" s="5" t="s">
        <v>21</v>
      </c>
      <c r="D43" s="18" t="s">
        <v>144</v>
      </c>
      <c r="E43" s="5" t="s">
        <v>128</v>
      </c>
      <c r="F43" s="17" t="s">
        <v>9</v>
      </c>
      <c r="G43" s="19" t="s">
        <v>145</v>
      </c>
    </row>
    <row r="44" spans="1:7" ht="22.5" customHeight="1" x14ac:dyDescent="0.2">
      <c r="A44" s="17" t="s">
        <v>258</v>
      </c>
      <c r="B44" s="5">
        <v>54</v>
      </c>
      <c r="C44" s="5" t="s">
        <v>21</v>
      </c>
      <c r="D44" s="25" t="s">
        <v>259</v>
      </c>
      <c r="E44" s="5" t="s">
        <v>38</v>
      </c>
      <c r="F44" s="17" t="s">
        <v>55</v>
      </c>
      <c r="G44" s="19"/>
    </row>
    <row r="45" spans="1:7" ht="22.5" customHeight="1" x14ac:dyDescent="0.2">
      <c r="A45" s="17" t="s">
        <v>224</v>
      </c>
      <c r="B45" s="5">
        <v>37</v>
      </c>
      <c r="C45" s="5" t="s">
        <v>64</v>
      </c>
      <c r="D45" s="18">
        <v>270649904666</v>
      </c>
      <c r="E45" s="5" t="s">
        <v>38</v>
      </c>
      <c r="F45" s="17" t="s">
        <v>225</v>
      </c>
      <c r="G45" s="19" t="s">
        <v>226</v>
      </c>
    </row>
    <row r="46" spans="1:7" ht="22.5" customHeight="1" x14ac:dyDescent="0.2">
      <c r="A46" s="17" t="s">
        <v>146</v>
      </c>
      <c r="B46" s="5">
        <v>49</v>
      </c>
      <c r="C46" s="5" t="s">
        <v>21</v>
      </c>
      <c r="D46" s="18" t="s">
        <v>65</v>
      </c>
      <c r="E46" s="5" t="s">
        <v>147</v>
      </c>
      <c r="F46" s="17" t="s">
        <v>104</v>
      </c>
      <c r="G46" s="19" t="s">
        <v>148</v>
      </c>
    </row>
    <row r="47" spans="1:7" ht="22.5" customHeight="1" x14ac:dyDescent="0.2">
      <c r="A47" s="17" t="s">
        <v>149</v>
      </c>
      <c r="B47" s="5">
        <v>48</v>
      </c>
      <c r="C47" s="5" t="s">
        <v>21</v>
      </c>
      <c r="D47" s="18" t="s">
        <v>150</v>
      </c>
      <c r="E47" s="5" t="s">
        <v>128</v>
      </c>
      <c r="F47" s="17" t="s">
        <v>0</v>
      </c>
      <c r="G47" s="19" t="s">
        <v>151</v>
      </c>
    </row>
    <row r="48" spans="1:7" ht="22.5" customHeight="1" x14ac:dyDescent="0.2">
      <c r="A48" s="17" t="s">
        <v>152</v>
      </c>
      <c r="B48" s="5">
        <v>40</v>
      </c>
      <c r="C48" s="5" t="s">
        <v>21</v>
      </c>
      <c r="D48" s="18" t="s">
        <v>153</v>
      </c>
      <c r="E48" s="5" t="s">
        <v>46</v>
      </c>
      <c r="F48" s="17" t="s">
        <v>9</v>
      </c>
      <c r="G48" s="19" t="s">
        <v>109</v>
      </c>
    </row>
    <row r="49" spans="1:7" ht="22.5" customHeight="1" x14ac:dyDescent="0.2">
      <c r="A49" s="17" t="s">
        <v>154</v>
      </c>
      <c r="B49" s="5">
        <v>42</v>
      </c>
      <c r="C49" s="5" t="s">
        <v>21</v>
      </c>
      <c r="D49" s="18" t="s">
        <v>155</v>
      </c>
      <c r="E49" s="5" t="s">
        <v>280</v>
      </c>
      <c r="F49" s="17" t="s">
        <v>55</v>
      </c>
      <c r="G49" s="19" t="s">
        <v>156</v>
      </c>
    </row>
    <row r="50" spans="1:7" ht="22.5" customHeight="1" x14ac:dyDescent="0.2">
      <c r="A50" s="17" t="s">
        <v>157</v>
      </c>
      <c r="B50" s="5">
        <v>48</v>
      </c>
      <c r="C50" s="5" t="s">
        <v>21</v>
      </c>
      <c r="D50" s="18" t="s">
        <v>115</v>
      </c>
      <c r="E50" s="5" t="s">
        <v>74</v>
      </c>
      <c r="F50" s="17" t="s">
        <v>9</v>
      </c>
      <c r="G50" s="19" t="s">
        <v>109</v>
      </c>
    </row>
    <row r="51" spans="1:7" ht="22.5" customHeight="1" x14ac:dyDescent="0.2">
      <c r="A51" s="17" t="s">
        <v>158</v>
      </c>
      <c r="B51" s="5">
        <v>45</v>
      </c>
      <c r="C51" s="5" t="s">
        <v>21</v>
      </c>
      <c r="D51" s="18" t="s">
        <v>159</v>
      </c>
      <c r="E51" s="5" t="s">
        <v>160</v>
      </c>
      <c r="F51" s="17" t="s">
        <v>161</v>
      </c>
      <c r="G51" s="19" t="s">
        <v>162</v>
      </c>
    </row>
    <row r="52" spans="1:7" ht="22.5" customHeight="1" x14ac:dyDescent="0.2">
      <c r="A52" s="17" t="s">
        <v>163</v>
      </c>
      <c r="B52" s="5">
        <v>25</v>
      </c>
      <c r="C52" s="5" t="s">
        <v>21</v>
      </c>
      <c r="D52" s="18" t="s">
        <v>164</v>
      </c>
      <c r="E52" s="5" t="s">
        <v>38</v>
      </c>
      <c r="F52" s="17" t="s">
        <v>165</v>
      </c>
      <c r="G52" s="19" t="s">
        <v>281</v>
      </c>
    </row>
    <row r="53" spans="1:7" ht="22.5" customHeight="1" x14ac:dyDescent="0.2">
      <c r="A53" s="17" t="s">
        <v>250</v>
      </c>
      <c r="B53" s="5">
        <v>27</v>
      </c>
      <c r="C53" s="5" t="s">
        <v>64</v>
      </c>
      <c r="D53" s="25" t="s">
        <v>251</v>
      </c>
      <c r="E53" s="5" t="s">
        <v>33</v>
      </c>
      <c r="F53" s="17" t="s">
        <v>55</v>
      </c>
      <c r="G53" s="19"/>
    </row>
    <row r="54" spans="1:7" ht="22.5" customHeight="1" x14ac:dyDescent="0.2">
      <c r="A54" s="17" t="s">
        <v>166</v>
      </c>
      <c r="B54" s="5">
        <v>29</v>
      </c>
      <c r="C54" s="5" t="s">
        <v>21</v>
      </c>
      <c r="D54" s="18" t="s">
        <v>167</v>
      </c>
      <c r="E54" s="5" t="s">
        <v>168</v>
      </c>
      <c r="F54" s="17" t="s">
        <v>169</v>
      </c>
      <c r="G54" s="19" t="s">
        <v>170</v>
      </c>
    </row>
    <row r="55" spans="1:7" ht="22.5" customHeight="1" x14ac:dyDescent="0.2">
      <c r="A55" s="17" t="s">
        <v>171</v>
      </c>
      <c r="B55" s="5">
        <v>45</v>
      </c>
      <c r="C55" s="5" t="s">
        <v>21</v>
      </c>
      <c r="D55" s="18" t="s">
        <v>172</v>
      </c>
      <c r="E55" s="5" t="s">
        <v>278</v>
      </c>
      <c r="F55" s="17" t="s">
        <v>173</v>
      </c>
      <c r="G55" s="19" t="s">
        <v>174</v>
      </c>
    </row>
    <row r="56" spans="1:7" ht="22.5" customHeight="1" x14ac:dyDescent="0.2">
      <c r="A56" s="17" t="s">
        <v>175</v>
      </c>
      <c r="B56" s="5">
        <v>57</v>
      </c>
      <c r="C56" s="5" t="s">
        <v>21</v>
      </c>
      <c r="D56" s="18" t="s">
        <v>176</v>
      </c>
      <c r="E56" s="5" t="s">
        <v>112</v>
      </c>
      <c r="F56" s="17" t="s">
        <v>177</v>
      </c>
      <c r="G56" s="19" t="s">
        <v>109</v>
      </c>
    </row>
    <row r="57" spans="1:7" ht="22.5" customHeight="1" x14ac:dyDescent="0.2">
      <c r="A57" s="17" t="s">
        <v>175</v>
      </c>
      <c r="B57" s="5">
        <v>75</v>
      </c>
      <c r="C57" s="5" t="s">
        <v>21</v>
      </c>
      <c r="D57" s="18" t="s">
        <v>178</v>
      </c>
      <c r="E57" s="5" t="s">
        <v>54</v>
      </c>
      <c r="F57" s="17" t="s">
        <v>51</v>
      </c>
      <c r="G57" s="19" t="s">
        <v>0</v>
      </c>
    </row>
    <row r="58" spans="1:7" ht="22.5" customHeight="1" x14ac:dyDescent="0.2">
      <c r="A58" s="17" t="s">
        <v>179</v>
      </c>
      <c r="B58" s="5">
        <v>46</v>
      </c>
      <c r="C58" s="5" t="s">
        <v>21</v>
      </c>
      <c r="D58" s="18" t="s">
        <v>180</v>
      </c>
      <c r="E58" s="5" t="s">
        <v>181</v>
      </c>
      <c r="F58" s="17" t="s">
        <v>104</v>
      </c>
      <c r="G58" s="19" t="s">
        <v>182</v>
      </c>
    </row>
    <row r="59" spans="1:7" ht="22.5" customHeight="1" x14ac:dyDescent="0.2">
      <c r="A59" s="17" t="s">
        <v>183</v>
      </c>
      <c r="B59" s="5">
        <v>33</v>
      </c>
      <c r="C59" s="5" t="s">
        <v>21</v>
      </c>
      <c r="D59" s="18" t="s">
        <v>184</v>
      </c>
      <c r="E59" s="5" t="s">
        <v>278</v>
      </c>
      <c r="F59" s="17" t="s">
        <v>185</v>
      </c>
      <c r="G59" s="19" t="s">
        <v>186</v>
      </c>
    </row>
    <row r="60" spans="1:7" ht="22.5" customHeight="1" x14ac:dyDescent="0.2">
      <c r="A60" s="17" t="s">
        <v>187</v>
      </c>
      <c r="B60" s="5">
        <v>46</v>
      </c>
      <c r="C60" s="5" t="s">
        <v>21</v>
      </c>
      <c r="D60" s="18" t="s">
        <v>188</v>
      </c>
      <c r="E60" s="5" t="s">
        <v>189</v>
      </c>
      <c r="F60" s="17" t="s">
        <v>0</v>
      </c>
      <c r="G60" s="19" t="s">
        <v>190</v>
      </c>
    </row>
    <row r="61" spans="1:7" ht="22.5" customHeight="1" x14ac:dyDescent="0.2">
      <c r="A61" s="17" t="s">
        <v>191</v>
      </c>
      <c r="B61" s="5"/>
      <c r="C61" s="5" t="s">
        <v>21</v>
      </c>
      <c r="D61" s="18" t="s">
        <v>192</v>
      </c>
      <c r="E61" s="5" t="s">
        <v>23</v>
      </c>
      <c r="F61" s="17" t="s">
        <v>193</v>
      </c>
      <c r="G61" s="19" t="s">
        <v>194</v>
      </c>
    </row>
    <row r="62" spans="1:7" ht="22.5" customHeight="1" x14ac:dyDescent="0.2">
      <c r="A62" s="17" t="s">
        <v>195</v>
      </c>
      <c r="B62" s="5"/>
      <c r="C62" s="5" t="s">
        <v>196</v>
      </c>
      <c r="D62" s="18" t="s">
        <v>197</v>
      </c>
      <c r="E62" s="5"/>
      <c r="F62" s="17"/>
      <c r="G62" s="19" t="s">
        <v>198</v>
      </c>
    </row>
    <row r="63" spans="1:7" ht="22.5" customHeight="1" x14ac:dyDescent="0.2">
      <c r="A63" s="17" t="s">
        <v>199</v>
      </c>
      <c r="B63" s="5">
        <v>38</v>
      </c>
      <c r="C63" s="5" t="s">
        <v>21</v>
      </c>
      <c r="D63" s="18" t="s">
        <v>178</v>
      </c>
      <c r="E63" s="5" t="s">
        <v>270</v>
      </c>
      <c r="F63" s="17" t="s">
        <v>0</v>
      </c>
      <c r="G63" s="19" t="s">
        <v>200</v>
      </c>
    </row>
    <row r="64" spans="1:7" ht="22.5" customHeight="1" x14ac:dyDescent="0.2">
      <c r="A64" s="17" t="s">
        <v>201</v>
      </c>
      <c r="B64" s="5">
        <v>40</v>
      </c>
      <c r="C64" s="5" t="s">
        <v>21</v>
      </c>
      <c r="D64" s="18" t="s">
        <v>202</v>
      </c>
      <c r="E64" s="5" t="s">
        <v>28</v>
      </c>
      <c r="F64" s="17" t="s">
        <v>51</v>
      </c>
      <c r="G64" s="19" t="s">
        <v>109</v>
      </c>
    </row>
    <row r="65" spans="1:7" ht="22.5" customHeight="1" x14ac:dyDescent="0.2">
      <c r="A65" s="17" t="s">
        <v>217</v>
      </c>
      <c r="B65" s="5">
        <v>41</v>
      </c>
      <c r="C65" s="5" t="s">
        <v>21</v>
      </c>
      <c r="D65" s="18">
        <v>270761578055</v>
      </c>
      <c r="E65" s="5" t="s">
        <v>168</v>
      </c>
      <c r="F65" s="17" t="s">
        <v>218</v>
      </c>
      <c r="G65" s="19" t="s">
        <v>219</v>
      </c>
    </row>
    <row r="66" spans="1:7" ht="22.5" customHeight="1" x14ac:dyDescent="0.2">
      <c r="A66" s="17" t="s">
        <v>240</v>
      </c>
      <c r="B66" s="5">
        <v>51</v>
      </c>
      <c r="C66" s="5" t="s">
        <v>21</v>
      </c>
      <c r="D66" s="18">
        <v>270728608558</v>
      </c>
      <c r="E66" s="5" t="s">
        <v>38</v>
      </c>
      <c r="F66" s="17" t="s">
        <v>241</v>
      </c>
      <c r="G66" s="19"/>
    </row>
    <row r="67" spans="1:7" ht="22.5" customHeight="1" x14ac:dyDescent="0.2">
      <c r="A67" s="17" t="s">
        <v>203</v>
      </c>
      <c r="B67" s="5">
        <v>56</v>
      </c>
      <c r="C67" s="17" t="s">
        <v>64</v>
      </c>
      <c r="D67" s="18" t="s">
        <v>204</v>
      </c>
      <c r="E67" s="5" t="s">
        <v>147</v>
      </c>
      <c r="F67" s="17" t="s">
        <v>14</v>
      </c>
      <c r="G67" s="19" t="s">
        <v>109</v>
      </c>
    </row>
    <row r="68" spans="1:7" ht="22.5" customHeight="1" x14ac:dyDescent="0.2">
      <c r="A68" s="17" t="s">
        <v>260</v>
      </c>
      <c r="B68" s="5">
        <v>41</v>
      </c>
      <c r="C68" s="17" t="s">
        <v>21</v>
      </c>
      <c r="D68" s="25" t="s">
        <v>261</v>
      </c>
      <c r="E68" s="5" t="s">
        <v>262</v>
      </c>
      <c r="F68" s="17" t="s">
        <v>263</v>
      </c>
      <c r="G68" s="19" t="s">
        <v>264</v>
      </c>
    </row>
    <row r="69" spans="1:7" ht="22.5" customHeight="1" x14ac:dyDescent="0.2">
      <c r="A69" s="17" t="s">
        <v>205</v>
      </c>
      <c r="B69" s="5">
        <v>33</v>
      </c>
      <c r="C69" s="5" t="s">
        <v>21</v>
      </c>
      <c r="D69" s="18" t="s">
        <v>206</v>
      </c>
      <c r="E69" s="5" t="s">
        <v>46</v>
      </c>
      <c r="F69" s="17" t="s">
        <v>207</v>
      </c>
      <c r="G69" s="19" t="s">
        <v>109</v>
      </c>
    </row>
    <row r="70" spans="1:7" ht="22.5" customHeight="1" x14ac:dyDescent="0.2">
      <c r="A70" s="17" t="s">
        <v>246</v>
      </c>
      <c r="B70" s="5">
        <v>25</v>
      </c>
      <c r="C70" s="5" t="s">
        <v>64</v>
      </c>
      <c r="D70" s="25" t="s">
        <v>247</v>
      </c>
      <c r="E70" s="5" t="s">
        <v>248</v>
      </c>
      <c r="F70" s="17" t="s">
        <v>241</v>
      </c>
      <c r="G70" s="19"/>
    </row>
    <row r="71" spans="1:7" ht="22.5" customHeight="1" x14ac:dyDescent="0.2">
      <c r="A71" s="17" t="s">
        <v>208</v>
      </c>
      <c r="B71" s="5">
        <v>49</v>
      </c>
      <c r="C71" s="5" t="s">
        <v>21</v>
      </c>
      <c r="D71" s="18" t="s">
        <v>209</v>
      </c>
      <c r="E71" s="5" t="s">
        <v>23</v>
      </c>
      <c r="F71" s="17" t="s">
        <v>0</v>
      </c>
      <c r="G71" s="19" t="s">
        <v>210</v>
      </c>
    </row>
    <row r="72" spans="1:7" ht="22.5" customHeight="1" x14ac:dyDescent="0.2">
      <c r="A72" s="17" t="s">
        <v>211</v>
      </c>
      <c r="B72" s="5">
        <v>28</v>
      </c>
      <c r="C72" s="5" t="s">
        <v>21</v>
      </c>
      <c r="D72" s="18" t="s">
        <v>212</v>
      </c>
      <c r="E72" s="5" t="s">
        <v>58</v>
      </c>
      <c r="F72" s="17" t="s">
        <v>8</v>
      </c>
      <c r="G72" s="19" t="s">
        <v>213</v>
      </c>
    </row>
    <row r="73" spans="1:7" ht="22.5" customHeight="1" x14ac:dyDescent="0.2">
      <c r="A73" s="17" t="s">
        <v>214</v>
      </c>
      <c r="B73" s="5">
        <v>36</v>
      </c>
      <c r="C73" s="5" t="s">
        <v>21</v>
      </c>
      <c r="D73" s="18" t="s">
        <v>215</v>
      </c>
      <c r="E73" s="5" t="s">
        <v>216</v>
      </c>
      <c r="F73" s="17" t="s">
        <v>34</v>
      </c>
      <c r="G73" s="19" t="s">
        <v>109</v>
      </c>
    </row>
  </sheetData>
  <dataValidations count="4">
    <dataValidation type="list" allowBlank="1" sqref="C2:C73" xr:uid="{00000000-0002-0000-0100-000000000000}">
      <formula1>"Male,Female,Not mentioned"</formula1>
    </dataValidation>
    <dataValidation type="custom" allowBlank="1" showDropDown="1" sqref="B2:B73" xr:uid="{00000000-0002-0000-0100-000001000000}">
      <formula1>AND(ISNUMBER(B2),(NOT(OR(NOT(ISERROR(DATEVALUE(B2))), AND(ISNUMBER(B2), LEFT(CELL("format", B2))="D")))))</formula1>
    </dataValidation>
    <dataValidation type="list" allowBlank="1" sqref="E2:E73" xr:uid="{00000000-0002-0000-0100-000002000000}">
      <formula1>"English,Afrikaans,Zulu,North Sotho,Ndebele,Pedi,HFO,North Sephedi,Xhosa,iSizulu,Xitsonga,Siswati,Portuguese,Swazi,Sesotho,Sepedi"</formula1>
    </dataValidation>
    <dataValidation allowBlank="1" showDropDown="1" sqref="A2:A73 F2:G73" xr:uid="{00000000-0002-0000-0100-000003000000}"/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Skills</vt:lpstr>
      <vt:lpstr>FullTable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Peta-Ann Schmidt</cp:lastModifiedBy>
  <dcterms:modified xsi:type="dcterms:W3CDTF">2025-12-26T14:42:11Z</dcterms:modified>
</cp:coreProperties>
</file>